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9320" windowHeight="11445" activeTab="1"/>
  </bookViews>
  <sheets>
    <sheet name="Thermostat Hg Reductions" sheetId="1" r:id="rId1"/>
    <sheet name="Thermostat Load Reductions" sheetId="2" r:id="rId2"/>
    <sheet name="Bar Graph" sheetId="3" r:id="rId3"/>
    <sheet name="Hg Recycled per year " sheetId="4" r:id="rId4"/>
    <sheet name="Hg Load Reduction per year" sheetId="5" r:id="rId5"/>
    <sheet name="Recycling Increases" sheetId="6" r:id="rId6"/>
    <sheet name="NEMA TRC Data" sheetId="7" r:id="rId7"/>
    <sheet name="CA_Bay Area Population" sheetId="8" r:id="rId8"/>
    <sheet name="CIWMB Report" sheetId="9" r:id="rId9"/>
    <sheet name="SFEI Tech Memo" sheetId="10" r:id="rId10"/>
    <sheet name="Partitioning analysis" sheetId="11" r:id="rId11"/>
  </sheets>
  <definedNames>
    <definedName name="_ftn1" localSheetId="10">'Partitioning analysis'!$A$18</definedName>
    <definedName name="_ftnref1" localSheetId="10">'Partitioning analysis'!$A$1</definedName>
  </definedNames>
  <calcPr fullCalcOnLoad="1"/>
</workbook>
</file>

<file path=xl/comments1.xml><?xml version="1.0" encoding="utf-8"?>
<comments xmlns="http://schemas.openxmlformats.org/spreadsheetml/2006/main">
  <authors>
    <author>khavens</author>
  </authors>
  <commentList>
    <comment ref="C4" authorId="0">
      <text>
        <r>
          <rPr>
            <b/>
            <sz val="8"/>
            <rFont val="Tahoma"/>
            <family val="2"/>
          </rPr>
          <t>khavens:</t>
        </r>
        <r>
          <rPr>
            <sz val="8"/>
            <rFont val="Tahoma"/>
            <family val="2"/>
          </rPr>
          <t xml:space="preserve">
NEMA Bay Area figure for 2006</t>
        </r>
      </text>
    </comment>
    <comment ref="C7" authorId="0">
      <text>
        <r>
          <rPr>
            <b/>
            <sz val="8"/>
            <rFont val="Tahoma"/>
            <family val="2"/>
          </rPr>
          <t>khavens:</t>
        </r>
        <r>
          <rPr>
            <sz val="8"/>
            <rFont val="Tahoma"/>
            <family val="2"/>
          </rPr>
          <t xml:space="preserve">
See 'Recycling Increases' worksheet. This number is based on a constant increase of 1.7 kg per year of Hg.</t>
        </r>
      </text>
    </comment>
    <comment ref="C9" authorId="0">
      <text>
        <r>
          <rPr>
            <b/>
            <sz val="8"/>
            <rFont val="Tahoma"/>
            <family val="2"/>
          </rPr>
          <t>khavens:</t>
        </r>
        <r>
          <rPr>
            <sz val="8"/>
            <rFont val="Tahoma"/>
            <family val="2"/>
          </rPr>
          <t xml:space="preserve">
See 'Recycling Increases' page</t>
        </r>
      </text>
    </comment>
    <comment ref="D4" authorId="0">
      <text>
        <r>
          <rPr>
            <b/>
            <sz val="8"/>
            <rFont val="Tahoma"/>
            <family val="2"/>
          </rPr>
          <t>khavens:</t>
        </r>
        <r>
          <rPr>
            <sz val="8"/>
            <rFont val="Tahoma"/>
            <family val="2"/>
          </rPr>
          <t xml:space="preserve">
See 'NEMA TRC Data' worksheet</t>
        </r>
      </text>
    </comment>
    <comment ref="C11" authorId="0">
      <text>
        <r>
          <rPr>
            <b/>
            <sz val="8"/>
            <rFont val="Tahoma"/>
            <family val="2"/>
          </rPr>
          <t>khavens:</t>
        </r>
        <r>
          <rPr>
            <sz val="8"/>
            <rFont val="Tahoma"/>
            <family val="2"/>
          </rPr>
          <t xml:space="preserve">
Partitioning analysis.</t>
        </r>
      </text>
    </comment>
  </commentList>
</comments>
</file>

<file path=xl/sharedStrings.xml><?xml version="1.0" encoding="utf-8"?>
<sst xmlns="http://schemas.openxmlformats.org/spreadsheetml/2006/main" count="125" uniqueCount="118">
  <si>
    <t>kg</t>
  </si>
  <si>
    <t>US Population</t>
  </si>
  <si>
    <t>%</t>
  </si>
  <si>
    <t>Current Mass Recycled</t>
  </si>
  <si>
    <t>kg/yr</t>
  </si>
  <si>
    <t>Incremental Increase in Mass Recycled</t>
  </si>
  <si>
    <t>CA demographics:</t>
  </si>
  <si>
    <t>California</t>
  </si>
  <si>
    <t>Alameda</t>
  </si>
  <si>
    <t>Contra Costa</t>
  </si>
  <si>
    <t>Santa Clara</t>
  </si>
  <si>
    <t>San Francisco</t>
  </si>
  <si>
    <t>San Mateo</t>
  </si>
  <si>
    <t>Sonoma</t>
  </si>
  <si>
    <t>Solano</t>
  </si>
  <si>
    <t>Marin</t>
  </si>
  <si>
    <t>Napa</t>
  </si>
  <si>
    <t>Number</t>
  </si>
  <si>
    <t>Percent</t>
  </si>
  <si>
    <t>http://www.dof.ca.gov/Research/Research.php</t>
  </si>
  <si>
    <t>Table 1</t>
  </si>
  <si>
    <t>2006 California Generated Volume by U-Waste Type</t>
  </si>
  <si>
    <t>U-Waste Type</t>
  </si>
  <si>
    <t>2001 Sales Volume</t>
  </si>
  <si>
    <t>Projected 2006 Generated</t>
  </si>
  <si>
    <t>For Households Only</t>
  </si>
  <si>
    <t>Air</t>
  </si>
  <si>
    <t>Water</t>
  </si>
  <si>
    <t>Landfill</t>
  </si>
  <si>
    <t>Wisc</t>
  </si>
  <si>
    <t xml:space="preserve">Kcc for Hg </t>
  </si>
  <si>
    <t>at 20 C</t>
  </si>
  <si>
    <t>at 25 C</t>
  </si>
  <si>
    <t>roughly 30% of mass in air ends up in water</t>
  </si>
  <si>
    <t>Kd for Hg</t>
  </si>
  <si>
    <t>mg/kg soil / mg/L water</t>
  </si>
  <si>
    <t>if water from air comes in contact with soil, it will most likely sorb to soil</t>
  </si>
  <si>
    <t>Assumed % of Hg Mass (not recycled) that enters the Bay</t>
  </si>
  <si>
    <r>
      <t xml:space="preserve"> </t>
    </r>
    <r>
      <rPr>
        <b/>
        <sz val="11"/>
        <color indexed="8"/>
        <rFont val="Calibri"/>
        <family val="2"/>
      </rPr>
      <t xml:space="preserve">Table 2 </t>
    </r>
    <r>
      <rPr>
        <b/>
        <sz val="11"/>
        <color indexed="8"/>
        <rFont val="Calibri"/>
        <family val="2"/>
      </rPr>
      <t xml:space="preserve"> </t>
    </r>
  </si>
  <si>
    <r>
      <t xml:space="preserve"> </t>
    </r>
    <r>
      <rPr>
        <sz val="9.9"/>
        <color indexed="8"/>
        <rFont val="Calibri"/>
        <family val="2"/>
      </rPr>
      <t>Conversion Factors</t>
    </r>
    <r>
      <rPr>
        <sz val="6.4"/>
        <color indexed="8"/>
        <rFont val="Calibri"/>
        <family val="2"/>
      </rPr>
      <t xml:space="preserve">* </t>
    </r>
    <r>
      <rPr>
        <sz val="11"/>
        <color theme="1"/>
        <rFont val="Calibri"/>
        <family val="2"/>
      </rPr>
      <t xml:space="preserve"> </t>
    </r>
  </si>
  <si>
    <r>
      <t xml:space="preserve"> </t>
    </r>
    <r>
      <rPr>
        <sz val="11"/>
        <color indexed="8"/>
        <rFont val="Calibri"/>
        <family val="2"/>
      </rPr>
      <t xml:space="preserve">U-Waste Type </t>
    </r>
    <r>
      <rPr>
        <sz val="11"/>
        <rFont val="Calibri"/>
        <family val="2"/>
      </rPr>
      <t xml:space="preserve"> </t>
    </r>
  </si>
  <si>
    <r>
      <t xml:space="preserve"> </t>
    </r>
    <r>
      <rPr>
        <sz val="11"/>
        <color indexed="8"/>
        <rFont val="Calibri"/>
        <family val="2"/>
      </rPr>
      <t xml:space="preserve">Conversion Factor </t>
    </r>
    <r>
      <rPr>
        <sz val="11"/>
        <rFont val="Calibri"/>
        <family val="2"/>
      </rPr>
      <t xml:space="preserve"> </t>
    </r>
  </si>
  <si>
    <t>Thermostats</t>
  </si>
  <si>
    <r>
      <t xml:space="preserve"> </t>
    </r>
    <r>
      <rPr>
        <sz val="11"/>
        <color indexed="8"/>
        <rFont val="Calibri"/>
        <family val="2"/>
      </rPr>
      <t>1 unit = .0062 lbs Hg</t>
    </r>
    <r>
      <rPr>
        <sz val="11"/>
        <rFont val="Calibri"/>
        <family val="2"/>
      </rPr>
      <t xml:space="preserve"> </t>
    </r>
  </si>
  <si>
    <t>year</t>
  </si>
  <si>
    <t>Amt recycled (kg)</t>
  </si>
  <si>
    <t>Load Reduction per year</t>
  </si>
  <si>
    <t>Year</t>
  </si>
  <si>
    <t>Load reduction to Bay (kg/yr)</t>
  </si>
  <si>
    <t>State</t>
  </si>
  <si>
    <t>City</t>
  </si>
  <si>
    <t>Zip</t>
  </si>
  <si>
    <t>Sum of Total Stats</t>
  </si>
  <si>
    <t>Sum of Total lbs mercury</t>
  </si>
  <si>
    <t>CA</t>
  </si>
  <si>
    <t>ANAHEIM</t>
  </si>
  <si>
    <t xml:space="preserve">ANAHEIM </t>
  </si>
  <si>
    <t>BALDWIN PARK</t>
  </si>
  <si>
    <t>BUENA PARK</t>
  </si>
  <si>
    <t>BURBANK</t>
  </si>
  <si>
    <t>CONCORD</t>
  </si>
  <si>
    <t>EL CAJON</t>
  </si>
  <si>
    <t>EL MONTE</t>
  </si>
  <si>
    <t>ELCAJON</t>
  </si>
  <si>
    <t>FRESNO</t>
  </si>
  <si>
    <t>GARDENA</t>
  </si>
  <si>
    <t>LAKE FOREST</t>
  </si>
  <si>
    <t>LIVERMORE</t>
  </si>
  <si>
    <t>LOS ANGELES</t>
  </si>
  <si>
    <t>MODESTO</t>
  </si>
  <si>
    <t>MONTEREY PARK</t>
  </si>
  <si>
    <t>ONTARIO</t>
  </si>
  <si>
    <t>POMONA</t>
  </si>
  <si>
    <t>RANCHO CORDOVA</t>
  </si>
  <si>
    <t>RIVERSIDE</t>
  </si>
  <si>
    <t>S. SAN FRANCISCO</t>
  </si>
  <si>
    <t>SACRAMENTO</t>
  </si>
  <si>
    <t>SAN DIEGO</t>
  </si>
  <si>
    <t>SAN JOSE</t>
  </si>
  <si>
    <t>Bay Area Sum</t>
  </si>
  <si>
    <t>SAN LEANDRO</t>
  </si>
  <si>
    <t>SANTA ANA</t>
  </si>
  <si>
    <t>SANTA ROSA</t>
  </si>
  <si>
    <t>UPLAND</t>
  </si>
  <si>
    <t>VAN NUYS</t>
  </si>
  <si>
    <t>CA Total</t>
  </si>
  <si>
    <t>Cumulative</t>
  </si>
  <si>
    <t>Incremental increase is based on linear regression by Rothenberg, 2007 in a memo entitled "Mercury Switch Thermostats and Fluorescent Bulbs"</t>
  </si>
  <si>
    <t>Total amount of Hg recycled from 2006-2025</t>
  </si>
  <si>
    <t>This is the percentage of the mass of mercury from un-recycled thermostats that is assumed to enter the bay</t>
  </si>
  <si>
    <t>Varies every year due to incremental increase. For a specific year, enter year in red box</t>
  </si>
  <si>
    <t>Projections of Hg recycled and load reduction to bay can be seen in the 'Hg recycled per year' and 'Hg load reduction per year' charts following</t>
  </si>
  <si>
    <t xml:space="preserve">SFEI Tech Memo, Rothenberg, October, 2007 </t>
  </si>
  <si>
    <t>Switches (thermostats)</t>
  </si>
  <si>
    <t>&lt;1</t>
  </si>
  <si>
    <t>Load Reduction (from 2006-2030)</t>
  </si>
  <si>
    <t>Current Load Reduction</t>
  </si>
  <si>
    <t>thermostats</t>
  </si>
  <si>
    <t>Cumulative total amount of Hg kept out of bay (2006-2030) due to recycling of thermostats based on percentage in C11.</t>
  </si>
  <si>
    <t>Cumulative Hg Recycled from 2006-2030 based on incremental increase in recycling</t>
  </si>
  <si>
    <t>Mercury</t>
  </si>
  <si>
    <t>per thermostat</t>
  </si>
  <si>
    <t>Projected Mass Recycled per year (in 2030)</t>
  </si>
  <si>
    <t>Load Reduction compared to Base Year</t>
  </si>
  <si>
    <t>Scenario 2: Thermostat Mercury Recycling</t>
  </si>
  <si>
    <t>The percentage of mercury that is assumed to enter the bay is based on a Barr Engineering Company study[1] conducted in Minnesota and Wisconsin that focused on the fate of mercury from household products, combined with a partitioning analysis. The authors estimated the amount of mercury which volatizes into the atmosphere, resulting from breakage, transfer and transit, as well as air emissions following disposal in landfills, combustion, and incineration is thirty-seven percent of the mercury contained in material being recycled.  We assumed that recycling would eliminate this volatilization pathway.</t>
  </si>
  <si>
    <t xml:space="preserve">The report did not account for the percentage of this mercury that will partition into water and end up in water bodies.  The following partitioning analysis was used to estimate the amount of mercury from Bay Area thermostats that could potentially enter San Francisco Bay.  </t>
  </si>
  <si>
    <r>
      <t xml:space="preserve">1. Henry’s law: </t>
    </r>
    <r>
      <rPr>
        <sz val="12"/>
        <color indexed="8"/>
        <rFont val="Times New Roman"/>
        <family val="1"/>
      </rPr>
      <t xml:space="preserve"> Henry’s law (at 20º C) for elemental mercury is as follows:</t>
    </r>
  </si>
  <si>
    <r>
      <t xml:space="preserve">                                                              </t>
    </r>
    <r>
      <rPr>
        <sz val="12"/>
        <color indexed="8"/>
        <rFont val="Times New Roman"/>
        <family val="1"/>
      </rPr>
      <t>i.</t>
    </r>
    <r>
      <rPr>
        <sz val="7"/>
        <color indexed="8"/>
        <rFont val="Times New Roman"/>
        <family val="1"/>
      </rPr>
      <t xml:space="preserve">      </t>
    </r>
    <r>
      <rPr>
        <sz val="12"/>
        <color indexed="8"/>
        <rFont val="Times New Roman"/>
        <family val="1"/>
      </rPr>
      <t>K</t>
    </r>
    <r>
      <rPr>
        <vertAlign val="subscript"/>
        <sz val="12"/>
        <color indexed="8"/>
        <rFont val="Times New Roman"/>
        <family val="1"/>
      </rPr>
      <t>HCC</t>
    </r>
    <r>
      <rPr>
        <sz val="12"/>
        <color indexed="8"/>
        <rFont val="Times New Roman"/>
        <family val="1"/>
      </rPr>
      <t xml:space="preserve"> = 0.305 [mol mercury/L air]/ [mol mercury/L water]</t>
    </r>
  </si>
  <si>
    <t>b. While the mechanics are complex, this can roughly be interpreted as 30.5% of the mass of mercury in the air will be fated to water particles in the air or directly to surface water bodies that volatilized mercury comes in contact with.</t>
  </si>
  <si>
    <r>
      <t xml:space="preserve">1. Rain-out:  </t>
    </r>
    <r>
      <rPr>
        <sz val="12"/>
        <color indexed="8"/>
        <rFont val="Times New Roman"/>
        <family val="1"/>
      </rPr>
      <t xml:space="preserve">As these water particles are rained-out or washed-out of air, mercury containing water will fall on land and water. </t>
    </r>
  </si>
  <si>
    <r>
      <t>2. Partitioning Coefficient K</t>
    </r>
    <r>
      <rPr>
        <u val="single"/>
        <vertAlign val="subscript"/>
        <sz val="12"/>
        <color indexed="8"/>
        <rFont val="Times New Roman"/>
        <family val="1"/>
      </rPr>
      <t>d</t>
    </r>
    <r>
      <rPr>
        <u val="single"/>
        <sz val="12"/>
        <color indexed="8"/>
        <rFont val="Times New Roman"/>
        <family val="1"/>
      </rPr>
      <t xml:space="preserve">: </t>
    </r>
    <r>
      <rPr>
        <sz val="12"/>
        <color indexed="8"/>
        <rFont val="Times New Roman"/>
        <family val="1"/>
      </rPr>
      <t xml:space="preserve"> The K</t>
    </r>
    <r>
      <rPr>
        <vertAlign val="subscript"/>
        <sz val="12"/>
        <color indexed="8"/>
        <rFont val="Times New Roman"/>
        <family val="1"/>
      </rPr>
      <t xml:space="preserve">d </t>
    </r>
    <r>
      <rPr>
        <sz val="12"/>
        <color indexed="8"/>
        <rFont val="Times New Roman"/>
        <family val="1"/>
      </rPr>
      <t xml:space="preserve"> is a determination of how much mercury will partition from water to soil when coming in contact with soil. The K</t>
    </r>
    <r>
      <rPr>
        <vertAlign val="subscript"/>
        <sz val="12"/>
        <color indexed="8"/>
        <rFont val="Times New Roman"/>
        <family val="1"/>
      </rPr>
      <t>d</t>
    </r>
    <r>
      <rPr>
        <sz val="12"/>
        <color indexed="8"/>
        <rFont val="Times New Roman"/>
        <family val="1"/>
      </rPr>
      <t xml:space="preserve"> for mercury is approximately 1000, meaning that for every 1000 mg of mercury in a kg of water, 1 mg of mercury will partition to 1 liter of water.  In essence, we can assume that all mercury which comes in contact with soil will partition to soil.  This also contributes to dry deposition pathways. </t>
    </r>
  </si>
  <si>
    <r>
      <t>3. Impervious areas:</t>
    </r>
    <r>
      <rPr>
        <sz val="12"/>
        <color indexed="8"/>
        <rFont val="Times New Roman"/>
        <family val="1"/>
      </rPr>
      <t xml:space="preserve">  While mercury in water that falls on impervious areas may partition onto soil or pavement particles, it is assumed that most mercury (~60-70%) on impervious surfaces will eventually be mobilized by rainfall and be conveyed by storm drains to the Bay. Based on current land use information, the local Bay watershed is ~60-70% imperviousness overall.    </t>
    </r>
  </si>
  <si>
    <t>Based on the above analysis, the following equation allows one to determine the amount of mercury from thermostats fated to the Bay:</t>
  </si>
  <si>
    <t>Percentage to the Bay= (37%)*(.305)*[(.65)*(.65)] = 4.8%</t>
  </si>
  <si>
    <t xml:space="preserve">Based on this partitioning analysis, approximately 4.8% of the mercury used in fluorescent bulbs may potentially enter San Francisco Bay via stormwater runoff.  </t>
  </si>
  <si>
    <t>[1] Barr Engineering Company, 2001. Substance Flow Analysis of Mercury in Products, Prepared for Minnesota Pollution Control Agency, August 15.</t>
  </si>
  <si>
    <t>NEMA Thermostat Recycling Corp. figure for 2006 for Bay Area Cities http://nema.org/gov/ehs/trc/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</si>
</sst>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8">
    <font>
      <sz val="11"/>
      <color theme="1"/>
      <name val="Calibri"/>
      <family val="2"/>
    </font>
    <font>
      <sz val="11"/>
      <color indexed="8"/>
      <name val="Calibri"/>
      <family val="2"/>
    </font>
    <font>
      <b/>
      <sz val="11"/>
      <color indexed="8"/>
      <name val="Calibri"/>
      <family val="2"/>
    </font>
    <font>
      <sz val="10"/>
      <name val="Arial"/>
      <family val="2"/>
    </font>
    <font>
      <sz val="9"/>
      <color indexed="8"/>
      <name val="Arial"/>
      <family val="2"/>
    </font>
    <font>
      <sz val="11"/>
      <name val="Calibri"/>
      <family val="2"/>
    </font>
    <font>
      <sz val="9.9"/>
      <color indexed="8"/>
      <name val="Calibri"/>
      <family val="2"/>
    </font>
    <font>
      <sz val="8"/>
      <name val="Tahoma"/>
      <family val="2"/>
    </font>
    <font>
      <b/>
      <sz val="8"/>
      <name val="Tahoma"/>
      <family val="2"/>
    </font>
    <font>
      <sz val="11"/>
      <color indexed="17"/>
      <name val="Calibri"/>
      <family val="2"/>
    </font>
    <font>
      <sz val="11"/>
      <color indexed="20"/>
      <name val="Calibri"/>
      <family val="2"/>
    </font>
    <font>
      <b/>
      <sz val="11"/>
      <name val="Calibri"/>
      <family val="2"/>
    </font>
    <font>
      <sz val="6.4"/>
      <color indexed="8"/>
      <name val="Calibri"/>
      <family val="2"/>
    </font>
    <font>
      <b/>
      <sz val="14"/>
      <color indexed="8"/>
      <name val="Calibri"/>
      <family val="2"/>
    </font>
    <font>
      <u val="single"/>
      <sz val="11"/>
      <color indexed="12"/>
      <name val="Calibri"/>
      <family val="2"/>
    </font>
    <font>
      <sz val="12"/>
      <color indexed="8"/>
      <name val="Times New Roman"/>
      <family val="1"/>
    </font>
    <font>
      <u val="single"/>
      <sz val="12"/>
      <color indexed="8"/>
      <name val="Times New Roman"/>
      <family val="1"/>
    </font>
    <font>
      <sz val="7"/>
      <color indexed="8"/>
      <name val="Times New Roman"/>
      <family val="1"/>
    </font>
    <font>
      <vertAlign val="subscript"/>
      <sz val="12"/>
      <color indexed="8"/>
      <name val="Times New Roman"/>
      <family val="1"/>
    </font>
    <font>
      <u val="single"/>
      <vertAlign val="subscrip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Times New Roman"/>
      <family val="1"/>
    </font>
    <font>
      <u val="single"/>
      <sz val="12"/>
      <color theme="1"/>
      <name val="Times New Roman"/>
      <family val="1"/>
    </font>
    <font>
      <sz val="7"/>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border>
    <border>
      <left/>
      <right style="thin">
        <color indexed="8"/>
      </right>
      <top style="thin">
        <color indexed="8"/>
      </top>
      <bottom/>
    </border>
    <border>
      <left style="thin">
        <color indexed="8"/>
      </left>
      <right/>
      <top style="thin"/>
      <bottom/>
    </border>
    <border>
      <left style="thin"/>
      <right/>
      <top style="thin">
        <color indexed="8"/>
      </top>
      <bottom/>
    </border>
    <border>
      <left style="thin">
        <color indexed="8"/>
      </left>
      <right/>
      <top/>
      <bottom/>
    </border>
    <border>
      <left/>
      <right style="thin">
        <color indexed="8"/>
      </right>
      <top/>
      <bottom/>
    </border>
    <border>
      <left/>
      <right/>
      <top/>
      <bottom style="thin"/>
    </border>
    <border>
      <left style="thin"/>
      <right/>
      <top/>
      <bottom/>
    </border>
    <border>
      <left/>
      <right style="thin"/>
      <top/>
      <bottom/>
    </border>
    <border>
      <left style="thin"/>
      <right/>
      <top/>
      <bottom style="thin"/>
    </border>
    <border>
      <left/>
      <right style="thin"/>
      <top/>
      <bottom style="thin"/>
    </border>
    <border>
      <left/>
      <right/>
      <top style="thin"/>
      <bottom/>
    </border>
    <border>
      <left/>
      <right style="thin"/>
      <top style="thin"/>
      <bottom/>
    </border>
    <border>
      <left style="thin"/>
      <right/>
      <top style="thin"/>
      <bottom/>
    </border>
    <border>
      <left style="thin"/>
      <right style="thin"/>
      <top style="medium">
        <color rgb="FFFFC000"/>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medium">
        <color rgb="FFFFC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0">
    <xf numFmtId="0" fontId="0" fillId="0" borderId="0" xfId="0" applyFont="1" applyAlignment="1">
      <alignment/>
    </xf>
    <xf numFmtId="3" fontId="0" fillId="0" borderId="0" xfId="0" applyNumberFormat="1" applyAlignment="1">
      <alignment/>
    </xf>
    <xf numFmtId="0" fontId="3" fillId="0" borderId="0" xfId="56">
      <alignment/>
      <protection/>
    </xf>
    <xf numFmtId="0" fontId="4" fillId="0" borderId="0" xfId="0" applyFont="1" applyFill="1" applyBorder="1" applyAlignment="1">
      <alignment/>
    </xf>
    <xf numFmtId="3" fontId="4" fillId="0" borderId="0" xfId="0" applyNumberFormat="1" applyFont="1" applyFill="1" applyBorder="1" applyAlignment="1">
      <alignment/>
    </xf>
    <xf numFmtId="2" fontId="4" fillId="0" borderId="0" xfId="0" applyNumberFormat="1" applyFont="1" applyAlignment="1">
      <alignment/>
    </xf>
    <xf numFmtId="2" fontId="0" fillId="0" borderId="0" xfId="0" applyNumberFormat="1" applyAlignment="1">
      <alignment/>
    </xf>
    <xf numFmtId="0" fontId="5" fillId="0" borderId="0" xfId="0" applyNumberFormat="1" applyFont="1" applyFill="1" applyBorder="1" applyAlignment="1" applyProtection="1">
      <alignment/>
      <protection/>
    </xf>
    <xf numFmtId="0" fontId="51"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0" fontId="11" fillId="0" borderId="0" xfId="0" applyNumberFormat="1" applyFont="1" applyFill="1" applyBorder="1" applyAlignment="1" applyProtection="1">
      <alignment/>
      <protection/>
    </xf>
    <xf numFmtId="0" fontId="53" fillId="0" borderId="0" xfId="0" applyFont="1" applyAlignment="1">
      <alignment/>
    </xf>
    <xf numFmtId="0" fontId="0" fillId="0" borderId="0" xfId="0" applyBorder="1" applyAlignment="1">
      <alignment/>
    </xf>
    <xf numFmtId="0" fontId="0" fillId="0" borderId="0" xfId="0" applyBorder="1" applyAlignment="1">
      <alignment vertical="top" wrapText="1"/>
    </xf>
    <xf numFmtId="0" fontId="3" fillId="0" borderId="0" xfId="56" applyFont="1">
      <alignment/>
      <protection/>
    </xf>
    <xf numFmtId="0" fontId="0" fillId="0" borderId="10" xfId="0" applyBorder="1" applyAlignment="1">
      <alignment/>
    </xf>
    <xf numFmtId="0" fontId="0" fillId="0" borderId="10" xfId="0" applyBorder="1" applyAlignment="1">
      <alignment horizontal="center" wrapText="1"/>
    </xf>
    <xf numFmtId="0" fontId="0" fillId="0" borderId="11" xfId="0" applyBorder="1" applyAlignment="1">
      <alignment horizontal="center" wrapText="1"/>
    </xf>
    <xf numFmtId="0" fontId="0" fillId="0" borderId="10" xfId="0" applyNumberFormat="1" applyBorder="1" applyAlignment="1">
      <alignment/>
    </xf>
    <xf numFmtId="0" fontId="0" fillId="0" borderId="11"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NumberFormat="1" applyBorder="1" applyAlignment="1">
      <alignment/>
    </xf>
    <xf numFmtId="0" fontId="0" fillId="0" borderId="15" xfId="0" applyNumberFormat="1" applyBorder="1" applyAlignment="1">
      <alignment/>
    </xf>
    <xf numFmtId="0" fontId="41" fillId="29" borderId="10" xfId="47" applyNumberFormat="1" applyBorder="1" applyAlignment="1">
      <alignment/>
    </xf>
    <xf numFmtId="0" fontId="41" fillId="29" borderId="14" xfId="47" applyNumberFormat="1" applyBorder="1" applyAlignment="1">
      <alignment/>
    </xf>
    <xf numFmtId="2" fontId="0" fillId="0" borderId="0" xfId="0" applyNumberFormat="1" applyBorder="1" applyAlignment="1">
      <alignment/>
    </xf>
    <xf numFmtId="2" fontId="0" fillId="0" borderId="0" xfId="0" applyNumberFormat="1" applyBorder="1" applyAlignment="1">
      <alignment vertical="top" wrapText="1"/>
    </xf>
    <xf numFmtId="2" fontId="3" fillId="0" borderId="0" xfId="56" applyNumberFormat="1">
      <alignment/>
      <protection/>
    </xf>
    <xf numFmtId="1" fontId="3" fillId="0" borderId="0" xfId="56" applyNumberFormat="1">
      <alignment/>
      <protection/>
    </xf>
    <xf numFmtId="2" fontId="0" fillId="0" borderId="0" xfId="0" applyNumberFormat="1" applyFont="1" applyAlignment="1">
      <alignment/>
    </xf>
    <xf numFmtId="0" fontId="0" fillId="0" borderId="0" xfId="0" applyFont="1" applyBorder="1" applyAlignment="1">
      <alignment/>
    </xf>
    <xf numFmtId="2" fontId="0" fillId="0" borderId="0" xfId="0" applyNumberFormat="1" applyFont="1" applyBorder="1" applyAlignment="1">
      <alignment/>
    </xf>
    <xf numFmtId="0" fontId="5" fillId="0" borderId="16" xfId="57" applyFont="1" applyBorder="1">
      <alignment/>
      <protection/>
    </xf>
    <xf numFmtId="0" fontId="5" fillId="0" borderId="16" xfId="57" applyFont="1" applyBorder="1" applyAlignment="1">
      <alignment horizontal="center"/>
      <protection/>
    </xf>
    <xf numFmtId="2" fontId="5" fillId="0" borderId="16" xfId="57" applyNumberFormat="1" applyFont="1" applyBorder="1" applyAlignment="1">
      <alignment horizontal="center"/>
      <protection/>
    </xf>
    <xf numFmtId="0" fontId="0" fillId="0" borderId="16" xfId="0" applyFont="1" applyBorder="1" applyAlignment="1">
      <alignment/>
    </xf>
    <xf numFmtId="0" fontId="5" fillId="0" borderId="17" xfId="57" applyFont="1" applyBorder="1">
      <alignment/>
      <protection/>
    </xf>
    <xf numFmtId="0" fontId="5" fillId="0" borderId="0" xfId="57" applyFont="1" applyBorder="1" applyAlignment="1">
      <alignment horizontal="center"/>
      <protection/>
    </xf>
    <xf numFmtId="0" fontId="5" fillId="0" borderId="0" xfId="57" applyFont="1" applyBorder="1">
      <alignment/>
      <protection/>
    </xf>
    <xf numFmtId="0" fontId="0" fillId="0" borderId="18" xfId="0" applyFont="1" applyBorder="1" applyAlignment="1">
      <alignment/>
    </xf>
    <xf numFmtId="0" fontId="5" fillId="0" borderId="19" xfId="57" applyFont="1" applyBorder="1">
      <alignment/>
      <protection/>
    </xf>
    <xf numFmtId="0" fontId="0" fillId="0" borderId="20" xfId="0" applyFont="1" applyBorder="1" applyAlignment="1">
      <alignment/>
    </xf>
    <xf numFmtId="0" fontId="5" fillId="0" borderId="0" xfId="56" applyFont="1">
      <alignment/>
      <protection/>
    </xf>
    <xf numFmtId="0" fontId="0" fillId="0" borderId="21" xfId="0" applyFont="1" applyBorder="1" applyAlignment="1">
      <alignment/>
    </xf>
    <xf numFmtId="0" fontId="0" fillId="0" borderId="22" xfId="0" applyFont="1" applyBorder="1" applyAlignment="1">
      <alignment/>
    </xf>
    <xf numFmtId="2" fontId="5" fillId="0" borderId="0" xfId="57" applyNumberFormat="1" applyFont="1" applyBorder="1" applyAlignment="1">
      <alignment horizontal="center"/>
      <protection/>
    </xf>
    <xf numFmtId="0" fontId="5" fillId="0" borderId="23" xfId="57" applyFont="1" applyBorder="1">
      <alignment/>
      <protection/>
    </xf>
    <xf numFmtId="0" fontId="5" fillId="0" borderId="21" xfId="57" applyFont="1" applyBorder="1">
      <alignment/>
      <protection/>
    </xf>
    <xf numFmtId="0" fontId="5" fillId="0" borderId="16" xfId="57" applyFont="1" applyBorder="1" applyAlignment="1">
      <alignment wrapText="1"/>
      <protection/>
    </xf>
    <xf numFmtId="0" fontId="0" fillId="0" borderId="16" xfId="0" applyFont="1" applyBorder="1" applyAlignment="1">
      <alignment wrapText="1"/>
    </xf>
    <xf numFmtId="0" fontId="0" fillId="0" borderId="20" xfId="0" applyFont="1" applyBorder="1" applyAlignment="1">
      <alignment wrapText="1"/>
    </xf>
    <xf numFmtId="0" fontId="0" fillId="0" borderId="0" xfId="0" applyFont="1" applyAlignment="1">
      <alignment wrapText="1"/>
    </xf>
    <xf numFmtId="2" fontId="0" fillId="33" borderId="18" xfId="0" applyNumberFormat="1" applyFont="1" applyFill="1" applyBorder="1" applyAlignment="1">
      <alignment/>
    </xf>
    <xf numFmtId="0" fontId="37" fillId="26" borderId="16" xfId="39" applyFont="1" applyBorder="1" applyAlignment="1">
      <alignment/>
    </xf>
    <xf numFmtId="0" fontId="5" fillId="0" borderId="0" xfId="57" applyFont="1">
      <alignment/>
      <protection/>
    </xf>
    <xf numFmtId="0" fontId="11" fillId="0" borderId="0" xfId="57" applyFont="1">
      <alignment/>
      <protection/>
    </xf>
    <xf numFmtId="0" fontId="11" fillId="0" borderId="0" xfId="57" applyFont="1" applyAlignment="1">
      <alignment horizontal="center"/>
      <protection/>
    </xf>
    <xf numFmtId="0" fontId="51" fillId="0" borderId="0" xfId="0" applyFont="1" applyAlignment="1">
      <alignment horizontal="center"/>
    </xf>
    <xf numFmtId="0" fontId="5" fillId="0" borderId="0" xfId="57" applyFont="1" applyAlignment="1">
      <alignment horizontal="center"/>
      <protection/>
    </xf>
    <xf numFmtId="0" fontId="0" fillId="0" borderId="0" xfId="0" applyFont="1" applyAlignment="1">
      <alignment horizontal="center"/>
    </xf>
    <xf numFmtId="0" fontId="5" fillId="0" borderId="0" xfId="57" applyFont="1" applyAlignment="1">
      <alignment wrapText="1"/>
      <protection/>
    </xf>
    <xf numFmtId="2" fontId="5" fillId="0" borderId="0" xfId="57" applyNumberFormat="1" applyFont="1" applyAlignment="1">
      <alignment horizontal="center"/>
      <protection/>
    </xf>
    <xf numFmtId="0" fontId="0" fillId="0" borderId="0" xfId="0" applyAlignment="1">
      <alignment wrapText="1"/>
    </xf>
    <xf numFmtId="164" fontId="0" fillId="0" borderId="0" xfId="0" applyNumberFormat="1" applyFont="1" applyAlignment="1">
      <alignment horizontal="center"/>
    </xf>
    <xf numFmtId="0" fontId="5" fillId="0" borderId="18" xfId="57" applyFont="1" applyBorder="1" applyAlignment="1">
      <alignment horizontal="center"/>
      <protection/>
    </xf>
    <xf numFmtId="0" fontId="5" fillId="0" borderId="20" xfId="57" applyFont="1" applyBorder="1" applyAlignment="1">
      <alignment horizontal="center"/>
      <protection/>
    </xf>
    <xf numFmtId="2" fontId="0" fillId="33" borderId="24" xfId="0" applyNumberFormat="1" applyFont="1" applyFill="1" applyBorder="1" applyAlignment="1">
      <alignment/>
    </xf>
    <xf numFmtId="0" fontId="5" fillId="0" borderId="23" xfId="57" applyFont="1" applyBorder="1" applyAlignment="1">
      <alignment wrapText="1"/>
      <protection/>
    </xf>
    <xf numFmtId="0" fontId="5" fillId="0" borderId="22" xfId="57" applyFont="1" applyBorder="1" applyAlignment="1">
      <alignment horizontal="center" vertical="center"/>
      <protection/>
    </xf>
    <xf numFmtId="0" fontId="5" fillId="0" borderId="25" xfId="57" applyFont="1" applyBorder="1" applyAlignment="1">
      <alignment wrapText="1"/>
      <protection/>
    </xf>
    <xf numFmtId="0" fontId="5" fillId="0" borderId="26" xfId="57" applyFont="1" applyBorder="1" applyAlignment="1">
      <alignment horizontal="center" wrapText="1"/>
      <protection/>
    </xf>
    <xf numFmtId="2" fontId="5" fillId="33" borderId="27" xfId="57" applyNumberFormat="1" applyFont="1" applyFill="1" applyBorder="1" applyAlignment="1">
      <alignment horizontal="center"/>
      <protection/>
    </xf>
    <xf numFmtId="0" fontId="5" fillId="0" borderId="25" xfId="57" applyFont="1" applyBorder="1" applyAlignment="1">
      <alignment/>
      <protection/>
    </xf>
    <xf numFmtId="0" fontId="5" fillId="0" borderId="27" xfId="57" applyFont="1" applyBorder="1" applyAlignment="1">
      <alignment wrapText="1"/>
      <protection/>
    </xf>
    <xf numFmtId="0" fontId="5" fillId="0" borderId="26" xfId="57" applyFont="1" applyBorder="1" applyAlignment="1">
      <alignment horizontal="center"/>
      <protection/>
    </xf>
    <xf numFmtId="0" fontId="5" fillId="0" borderId="25" xfId="57" applyFont="1" applyBorder="1">
      <alignment/>
      <protection/>
    </xf>
    <xf numFmtId="0" fontId="5" fillId="0" borderId="27" xfId="57" applyFont="1" applyBorder="1">
      <alignment/>
      <protection/>
    </xf>
    <xf numFmtId="2" fontId="5" fillId="33" borderId="28" xfId="57" applyNumberFormat="1" applyFont="1" applyFill="1" applyBorder="1" applyAlignment="1">
      <alignment horizontal="center"/>
      <protection/>
    </xf>
    <xf numFmtId="2" fontId="5" fillId="33" borderId="24" xfId="57" applyNumberFormat="1" applyFont="1" applyFill="1" applyBorder="1" applyAlignment="1">
      <alignment horizontal="center"/>
      <protection/>
    </xf>
    <xf numFmtId="0" fontId="45" fillId="0" borderId="0" xfId="52" applyAlignment="1" applyProtection="1">
      <alignment/>
      <protection/>
    </xf>
    <xf numFmtId="0" fontId="54" fillId="0" borderId="0" xfId="0" applyFont="1" applyAlignment="1">
      <alignment/>
    </xf>
    <xf numFmtId="0" fontId="55" fillId="0" borderId="0" xfId="0" applyFont="1" applyAlignment="1">
      <alignment horizontal="left" indent="1"/>
    </xf>
    <xf numFmtId="0" fontId="56" fillId="0" borderId="0" xfId="0" applyFont="1" applyAlignment="1">
      <alignment horizontal="left" indent="15"/>
    </xf>
    <xf numFmtId="0" fontId="54" fillId="0" borderId="0" xfId="0" applyFont="1" applyAlignment="1">
      <alignment horizontal="left" indent="2"/>
    </xf>
    <xf numFmtId="165" fontId="5" fillId="34" borderId="28" xfId="57" applyNumberFormat="1" applyFont="1" applyFill="1" applyBorder="1" applyAlignment="1">
      <alignment horizontal="center" vertical="center"/>
      <protection/>
    </xf>
    <xf numFmtId="164" fontId="5" fillId="0" borderId="0" xfId="57" applyNumberFormat="1"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Thermostat Recycling Hg Load Reduction [kg/year]</a:t>
            </a:r>
          </a:p>
        </c:rich>
      </c:tx>
      <c:layout>
        <c:manualLayout>
          <c:xMode val="factor"/>
          <c:yMode val="factor"/>
          <c:x val="-0.001"/>
          <c:y val="-0.0075"/>
        </c:manualLayout>
      </c:layout>
      <c:spPr>
        <a:noFill/>
        <a:ln w="3175">
          <a:noFill/>
        </a:ln>
      </c:spPr>
    </c:title>
    <c:plotArea>
      <c:layout>
        <c:manualLayout>
          <c:xMode val="edge"/>
          <c:yMode val="edge"/>
          <c:x val="0.015"/>
          <c:y val="0.068"/>
          <c:w val="0.74625"/>
          <c:h val="0.91175"/>
        </c:manualLayout>
      </c:layout>
      <c:barChart>
        <c:barDir val="col"/>
        <c:grouping val="clustered"/>
        <c:varyColors val="0"/>
        <c:ser>
          <c:idx val="1"/>
          <c:order val="0"/>
          <c:tx>
            <c:v>2010 Estimated Load Reduction</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Hg Load Reductions from Thermostat Recycling</c:v>
              </c:pt>
            </c:strLit>
          </c:cat>
          <c:val>
            <c:numRef>
              <c:f>'Thermostat Hg Reductions'!$C$20</c:f>
              <c:numCache>
                <c:ptCount val="1"/>
                <c:pt idx="0">
                  <c:v>0.7728</c:v>
                </c:pt>
              </c:numCache>
            </c:numRef>
          </c:val>
        </c:ser>
        <c:ser>
          <c:idx val="0"/>
          <c:order val="1"/>
          <c:tx>
            <c:v>2030 Estimated Load Reduction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Hg Load Reductions from Thermostat Recycling</c:v>
              </c:pt>
            </c:strLit>
          </c:cat>
          <c:val>
            <c:numRef>
              <c:f>'Thermostat Hg Reductions'!$D$20</c:f>
              <c:numCache>
                <c:ptCount val="1"/>
                <c:pt idx="0">
                  <c:v>2.4048</c:v>
                </c:pt>
              </c:numCache>
            </c:numRef>
          </c:val>
        </c:ser>
        <c:axId val="7371555"/>
        <c:axId val="66343996"/>
      </c:barChart>
      <c:catAx>
        <c:axId val="7371555"/>
        <c:scaling>
          <c:orientation val="minMax"/>
        </c:scaling>
        <c:axPos val="b"/>
        <c:delete val="0"/>
        <c:numFmt formatCode="General" sourceLinked="1"/>
        <c:majorTickMark val="out"/>
        <c:minorTickMark val="none"/>
        <c:tickLblPos val="nextTo"/>
        <c:spPr>
          <a:ln w="3175">
            <a:solidFill>
              <a:srgbClr val="808080"/>
            </a:solidFill>
          </a:ln>
        </c:spPr>
        <c:crossAx val="66343996"/>
        <c:crosses val="autoZero"/>
        <c:auto val="1"/>
        <c:lblOffset val="100"/>
        <c:tickLblSkip val="1"/>
        <c:noMultiLvlLbl val="0"/>
      </c:catAx>
      <c:valAx>
        <c:axId val="66343996"/>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7371555"/>
        <c:crossesAt val="1"/>
        <c:crossBetween val="between"/>
        <c:dispUnits/>
      </c:valAx>
      <c:spPr>
        <a:solidFill>
          <a:srgbClr val="FFFFFF"/>
        </a:solidFill>
        <a:ln w="3175">
          <a:noFill/>
        </a:ln>
      </c:spPr>
    </c:plotArea>
    <c:legend>
      <c:legendPos val="r"/>
      <c:layout>
        <c:manualLayout>
          <c:xMode val="edge"/>
          <c:yMode val="edge"/>
          <c:x val="0.778"/>
          <c:y val="0.494"/>
          <c:w val="0.21425"/>
          <c:h val="0.07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Hg Load Reduction from Thermostat Recycling, kg/year</a:t>
            </a:r>
          </a:p>
        </c:rich>
      </c:tx>
      <c:layout>
        <c:manualLayout>
          <c:xMode val="factor"/>
          <c:yMode val="factor"/>
          <c:x val="-0.001"/>
          <c:y val="-0.0075"/>
        </c:manualLayout>
      </c:layout>
      <c:spPr>
        <a:noFill/>
        <a:ln w="3175">
          <a:noFill/>
        </a:ln>
      </c:spPr>
    </c:title>
    <c:plotArea>
      <c:layout>
        <c:manualLayout>
          <c:xMode val="edge"/>
          <c:yMode val="edge"/>
          <c:x val="0.0155"/>
          <c:y val="0.06825"/>
          <c:w val="0.96725"/>
          <c:h val="0.86475"/>
        </c:manualLayout>
      </c:layout>
      <c:barChart>
        <c:barDir val="col"/>
        <c:grouping val="stacked"/>
        <c:varyColors val="0"/>
        <c:ser>
          <c:idx val="0"/>
          <c:order val="0"/>
          <c:tx>
            <c:strRef>
              <c:f>'Thermostat Hg Reductions'!$A$20</c:f>
              <c:strCache>
                <c:ptCount val="1"/>
                <c:pt idx="0">
                  <c:v>Current Load Reduction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'Thermostat Hg Reductions'!$B$19:$D$19</c:f>
              <c:numCache>
                <c:ptCount val="3"/>
                <c:pt idx="0">
                  <c:v>2006</c:v>
                </c:pt>
                <c:pt idx="1">
                  <c:v>2010</c:v>
                </c:pt>
                <c:pt idx="2">
                  <c:v>2030</c:v>
                </c:pt>
              </c:numCache>
            </c:numRef>
          </c:cat>
          <c:val>
            <c:numRef>
              <c:f>'Thermostat Hg Reductions'!$B$20:$D$20</c:f>
              <c:numCache>
                <c:ptCount val="3"/>
                <c:pt idx="0">
                  <c:v>0.4464</c:v>
                </c:pt>
                <c:pt idx="1">
                  <c:v>0.7728</c:v>
                </c:pt>
                <c:pt idx="2">
                  <c:v>2.4048</c:v>
                </c:pt>
              </c:numCache>
            </c:numRef>
          </c:val>
        </c:ser>
        <c:ser>
          <c:idx val="1"/>
          <c:order val="1"/>
          <c:tx>
            <c:strRef>
              <c:f>'Thermostat Hg Reductions'!$A$21</c:f>
              <c:strCache>
                <c:ptCount val="1"/>
                <c:pt idx="0">
                  <c:v>Load Reduction compared to Base Year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'Thermostat Hg Reductions'!$B$19:$D$19</c:f>
              <c:numCache>
                <c:ptCount val="3"/>
                <c:pt idx="0">
                  <c:v>2006</c:v>
                </c:pt>
                <c:pt idx="1">
                  <c:v>2010</c:v>
                </c:pt>
                <c:pt idx="2">
                  <c:v>2030</c:v>
                </c:pt>
              </c:numCache>
            </c:numRef>
          </c:cat>
          <c:val>
            <c:numRef>
              <c:f>'Thermostat Hg Reductions'!$B$21:$D$21</c:f>
              <c:numCache>
                <c:ptCount val="3"/>
                <c:pt idx="1">
                  <c:v>0.3264</c:v>
                </c:pt>
                <c:pt idx="2">
                  <c:v>1.9583999999999997</c:v>
                </c:pt>
              </c:numCache>
            </c:numRef>
          </c:val>
        </c:ser>
        <c:overlap val="100"/>
        <c:gapWidth val="75"/>
        <c:axId val="60225053"/>
        <c:axId val="5154566"/>
      </c:barChart>
      <c:catAx>
        <c:axId val="60225053"/>
        <c:scaling>
          <c:orientation val="minMax"/>
        </c:scaling>
        <c:axPos val="b"/>
        <c:delete val="0"/>
        <c:numFmt formatCode="General" sourceLinked="1"/>
        <c:majorTickMark val="none"/>
        <c:minorTickMark val="none"/>
        <c:tickLblPos val="nextTo"/>
        <c:spPr>
          <a:ln w="3175">
            <a:solidFill>
              <a:srgbClr val="808080"/>
            </a:solidFill>
          </a:ln>
        </c:spPr>
        <c:crossAx val="5154566"/>
        <c:crosses val="autoZero"/>
        <c:auto val="1"/>
        <c:lblOffset val="100"/>
        <c:tickLblSkip val="1"/>
        <c:noMultiLvlLbl val="0"/>
      </c:catAx>
      <c:valAx>
        <c:axId val="515456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0225053"/>
        <c:crossesAt val="1"/>
        <c:crossBetween val="between"/>
        <c:dispUnits/>
      </c:valAx>
      <c:spPr>
        <a:solidFill>
          <a:srgbClr val="FFFFFF"/>
        </a:solidFill>
        <a:ln w="3175">
          <a:noFill/>
        </a:ln>
      </c:spPr>
    </c:plotArea>
    <c:legend>
      <c:legendPos val="b"/>
      <c:layout>
        <c:manualLayout>
          <c:xMode val="edge"/>
          <c:yMode val="edge"/>
          <c:x val="0.25475"/>
          <c:y val="0.95075"/>
          <c:w val="0.489"/>
          <c:h val="0.03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Thermostat Hg Recycled per year </a:t>
            </a:r>
          </a:p>
        </c:rich>
      </c:tx>
      <c:layout>
        <c:manualLayout>
          <c:xMode val="factor"/>
          <c:yMode val="factor"/>
          <c:x val="-0.001"/>
          <c:y val="-0.0075"/>
        </c:manualLayout>
      </c:layout>
      <c:spPr>
        <a:noFill/>
        <a:ln w="3175">
          <a:noFill/>
        </a:ln>
      </c:spPr>
    </c:title>
    <c:plotArea>
      <c:layout>
        <c:manualLayout>
          <c:xMode val="edge"/>
          <c:yMode val="edge"/>
          <c:x val="0.046"/>
          <c:y val="0.0685"/>
          <c:w val="0.94075"/>
          <c:h val="0.868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'Recycling Increases'!$A$3:$A$22</c:f>
              <c:numCache>
                <c:ptCount val="20"/>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numCache>
            </c:numRef>
          </c:xVal>
          <c:yVal>
            <c:numRef>
              <c:f>'Recycling Increases'!$B$3:$B$22</c:f>
              <c:numCache>
                <c:ptCount val="20"/>
                <c:pt idx="0">
                  <c:v>9.3</c:v>
                </c:pt>
                <c:pt idx="1">
                  <c:v>11</c:v>
                </c:pt>
                <c:pt idx="2">
                  <c:v>12.7</c:v>
                </c:pt>
                <c:pt idx="3">
                  <c:v>14.399999999999999</c:v>
                </c:pt>
                <c:pt idx="4">
                  <c:v>16.099999999999998</c:v>
                </c:pt>
                <c:pt idx="5">
                  <c:v>17.799999999999997</c:v>
                </c:pt>
                <c:pt idx="6">
                  <c:v>19.499999999999996</c:v>
                </c:pt>
                <c:pt idx="7">
                  <c:v>21.199999999999996</c:v>
                </c:pt>
                <c:pt idx="8">
                  <c:v>22.899999999999995</c:v>
                </c:pt>
                <c:pt idx="9">
                  <c:v>24.599999999999994</c:v>
                </c:pt>
                <c:pt idx="10">
                  <c:v>26.299999999999994</c:v>
                </c:pt>
                <c:pt idx="11">
                  <c:v>27.999999999999993</c:v>
                </c:pt>
                <c:pt idx="12">
                  <c:v>29.699999999999992</c:v>
                </c:pt>
                <c:pt idx="13">
                  <c:v>31.39999999999999</c:v>
                </c:pt>
                <c:pt idx="14">
                  <c:v>33.099999999999994</c:v>
                </c:pt>
                <c:pt idx="15">
                  <c:v>34.8</c:v>
                </c:pt>
                <c:pt idx="16">
                  <c:v>36.5</c:v>
                </c:pt>
                <c:pt idx="17">
                  <c:v>38.2</c:v>
                </c:pt>
                <c:pt idx="18">
                  <c:v>39.900000000000006</c:v>
                </c:pt>
                <c:pt idx="19">
                  <c:v>41.60000000000001</c:v>
                </c:pt>
              </c:numCache>
            </c:numRef>
          </c:yVal>
          <c:smooth val="1"/>
        </c:ser>
        <c:axId val="46391095"/>
        <c:axId val="14866672"/>
      </c:scatterChart>
      <c:valAx>
        <c:axId val="46391095"/>
        <c:scaling>
          <c:orientation val="minMax"/>
          <c:max val="2025"/>
        </c:scaling>
        <c:axPos val="b"/>
        <c:delete val="0"/>
        <c:numFmt formatCode="General" sourceLinked="1"/>
        <c:majorTickMark val="none"/>
        <c:minorTickMark val="none"/>
        <c:tickLblPos val="nextTo"/>
        <c:spPr>
          <a:ln w="3175">
            <a:solidFill>
              <a:srgbClr val="808080"/>
            </a:solidFill>
          </a:ln>
        </c:spPr>
        <c:crossAx val="14866672"/>
        <c:crosses val="autoZero"/>
        <c:crossBetween val="midCat"/>
        <c:dispUnits/>
      </c:valAx>
      <c:valAx>
        <c:axId val="148666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Hg Recycled (kg/yr)</a:t>
                </a:r>
              </a:p>
            </c:rich>
          </c:tx>
          <c:layout>
            <c:manualLayout>
              <c:xMode val="factor"/>
              <c:yMode val="factor"/>
              <c:x val="-0.00025"/>
              <c:y val="0.002"/>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39109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Hg Load Reduction to Bay per year</a:t>
            </a:r>
          </a:p>
        </c:rich>
      </c:tx>
      <c:layout>
        <c:manualLayout>
          <c:xMode val="factor"/>
          <c:yMode val="factor"/>
          <c:x val="0"/>
          <c:y val="-0.0075"/>
        </c:manualLayout>
      </c:layout>
      <c:spPr>
        <a:noFill/>
        <a:ln w="3175">
          <a:noFill/>
        </a:ln>
      </c:spPr>
    </c:title>
    <c:plotArea>
      <c:layout>
        <c:manualLayout>
          <c:xMode val="edge"/>
          <c:yMode val="edge"/>
          <c:x val="0.047"/>
          <c:y val="0.0685"/>
          <c:w val="0.9395"/>
          <c:h val="0.86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'Recycling Increases'!$A$33:$A$52</c:f>
              <c:numCache>
                <c:ptCount val="20"/>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numCache>
            </c:numRef>
          </c:xVal>
          <c:yVal>
            <c:numRef>
              <c:f>'Recycling Increases'!$B$33:$B$52</c:f>
              <c:numCache>
                <c:ptCount val="20"/>
                <c:pt idx="0">
                  <c:v>0.4464</c:v>
                </c:pt>
                <c:pt idx="1">
                  <c:v>0.528</c:v>
                </c:pt>
                <c:pt idx="2">
                  <c:v>0.6096</c:v>
                </c:pt>
                <c:pt idx="3">
                  <c:v>0.6912</c:v>
                </c:pt>
                <c:pt idx="4">
                  <c:v>0.7728</c:v>
                </c:pt>
                <c:pt idx="5">
                  <c:v>0.8544</c:v>
                </c:pt>
                <c:pt idx="6">
                  <c:v>0.936</c:v>
                </c:pt>
                <c:pt idx="7">
                  <c:v>1.0176</c:v>
                </c:pt>
                <c:pt idx="8">
                  <c:v>1.0992</c:v>
                </c:pt>
                <c:pt idx="9">
                  <c:v>1.1808</c:v>
                </c:pt>
                <c:pt idx="10">
                  <c:v>1.2624</c:v>
                </c:pt>
                <c:pt idx="11">
                  <c:v>1.344</c:v>
                </c:pt>
                <c:pt idx="12">
                  <c:v>1.4256</c:v>
                </c:pt>
                <c:pt idx="13">
                  <c:v>1.5071999999999999</c:v>
                </c:pt>
                <c:pt idx="14">
                  <c:v>1.5888000000000002</c:v>
                </c:pt>
                <c:pt idx="15">
                  <c:v>1.6703999999999999</c:v>
                </c:pt>
                <c:pt idx="16">
                  <c:v>1.752</c:v>
                </c:pt>
                <c:pt idx="17">
                  <c:v>1.8336000000000001</c:v>
                </c:pt>
                <c:pt idx="18">
                  <c:v>1.9152</c:v>
                </c:pt>
                <c:pt idx="19">
                  <c:v>1.9967999999999997</c:v>
                </c:pt>
              </c:numCache>
            </c:numRef>
          </c:yVal>
          <c:smooth val="1"/>
        </c:ser>
        <c:axId val="66691185"/>
        <c:axId val="63349754"/>
      </c:scatterChart>
      <c:valAx>
        <c:axId val="66691185"/>
        <c:scaling>
          <c:orientation val="minMax"/>
          <c:max val="2025"/>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04"/>
              <c:y val="0.003"/>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3349754"/>
        <c:crosses val="autoZero"/>
        <c:crossBetween val="midCat"/>
        <c:dispUnits/>
      </c:valAx>
      <c:valAx>
        <c:axId val="6334975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Load Reduction to Bay (kg/yr)</a:t>
                </a:r>
              </a:p>
            </c:rich>
          </c:tx>
          <c:layout>
            <c:manualLayout>
              <c:xMode val="factor"/>
              <c:yMode val="factor"/>
              <c:x val="-0.0002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69118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10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8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1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72225"/>
    <xdr:graphicFrame>
      <xdr:nvGraphicFramePr>
        <xdr:cNvPr id="1" name="Shape 1025"/>
        <xdr:cNvGraphicFramePr/>
      </xdr:nvGraphicFramePr>
      <xdr:xfrm>
        <a:off x="0" y="0"/>
        <a:ext cx="8734425" cy="6372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24900" cy="6362700"/>
    <xdr:graphicFrame>
      <xdr:nvGraphicFramePr>
        <xdr:cNvPr id="1" name="Shape 1025"/>
        <xdr:cNvGraphicFramePr/>
      </xdr:nvGraphicFramePr>
      <xdr:xfrm>
        <a:off x="0" y="0"/>
        <a:ext cx="8724900" cy="6362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24900" cy="6362700"/>
    <xdr:graphicFrame>
      <xdr:nvGraphicFramePr>
        <xdr:cNvPr id="1" name="Shape 1025"/>
        <xdr:cNvGraphicFramePr/>
      </xdr:nvGraphicFramePr>
      <xdr:xfrm>
        <a:off x="0" y="0"/>
        <a:ext cx="8724900" cy="63627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
  <sheetViews>
    <sheetView zoomScale="90" zoomScaleNormal="90" zoomScalePageLayoutView="0" workbookViewId="0" topLeftCell="A1">
      <selection activeCell="C19" sqref="C19"/>
    </sheetView>
  </sheetViews>
  <sheetFormatPr defaultColWidth="9.140625" defaultRowHeight="15"/>
  <cols>
    <col min="1" max="1" width="30.7109375" style="9" customWidth="1"/>
    <col min="2" max="2" width="20.7109375" style="9" customWidth="1"/>
    <col min="3" max="3" width="20.7109375" style="33" customWidth="1"/>
    <col min="4" max="4" width="20.7109375" style="9" customWidth="1"/>
    <col min="5" max="5" width="80.28125" style="9" customWidth="1"/>
    <col min="6" max="15" width="9.140625" style="9" customWidth="1"/>
    <col min="16" max="16" width="10.57421875" style="9" customWidth="1"/>
    <col min="17" max="16384" width="9.140625" style="9" customWidth="1"/>
  </cols>
  <sheetData>
    <row r="1" ht="18.75">
      <c r="A1" s="13" t="s">
        <v>104</v>
      </c>
    </row>
    <row r="2" spans="1:17" ht="15">
      <c r="A2" s="34"/>
      <c r="B2" s="34"/>
      <c r="C2" s="35"/>
      <c r="D2" s="34"/>
      <c r="E2" s="34"/>
      <c r="F2" s="34"/>
      <c r="G2" s="34"/>
      <c r="H2" s="34"/>
      <c r="I2" s="34"/>
      <c r="J2" s="34"/>
      <c r="K2" s="34"/>
      <c r="L2" s="34"/>
      <c r="M2" s="34"/>
      <c r="N2" s="34"/>
      <c r="O2" s="34"/>
      <c r="P2" s="34"/>
      <c r="Q2" s="34"/>
    </row>
    <row r="3" spans="1:17" ht="15">
      <c r="A3" s="36"/>
      <c r="B3" s="37"/>
      <c r="C3" s="38"/>
      <c r="D3" s="36"/>
      <c r="E3" s="36"/>
      <c r="F3" s="36"/>
      <c r="G3" s="36"/>
      <c r="H3" s="36"/>
      <c r="I3" s="36"/>
      <c r="J3" s="36"/>
      <c r="K3" s="36"/>
      <c r="L3" s="39"/>
      <c r="M3" s="39"/>
      <c r="N3" s="39"/>
      <c r="O3" s="39"/>
      <c r="P3" s="39"/>
      <c r="Q3" s="34"/>
    </row>
    <row r="4" spans="1:16" ht="15.75" thickBot="1">
      <c r="A4" s="40" t="s">
        <v>3</v>
      </c>
      <c r="B4" s="68" t="s">
        <v>4</v>
      </c>
      <c r="C4" s="81">
        <f>'Recycling Increases'!B3</f>
        <v>9.3</v>
      </c>
      <c r="D4" s="40" t="s">
        <v>117</v>
      </c>
      <c r="E4" s="42"/>
      <c r="F4" s="42"/>
      <c r="G4" s="42"/>
      <c r="H4" s="42"/>
      <c r="I4" s="42"/>
      <c r="J4" s="42"/>
      <c r="K4" s="42"/>
      <c r="L4" s="34"/>
      <c r="M4" s="34"/>
      <c r="N4" s="34"/>
      <c r="O4" s="34"/>
      <c r="P4" s="43"/>
    </row>
    <row r="5" spans="1:16" ht="15">
      <c r="A5" s="44" t="s">
        <v>5</v>
      </c>
      <c r="B5" s="69" t="s">
        <v>4</v>
      </c>
      <c r="C5" s="82">
        <v>1.7</v>
      </c>
      <c r="D5" s="44" t="s">
        <v>87</v>
      </c>
      <c r="E5" s="36"/>
      <c r="F5" s="36"/>
      <c r="G5" s="36"/>
      <c r="H5" s="36"/>
      <c r="I5" s="36"/>
      <c r="J5" s="36"/>
      <c r="K5" s="36"/>
      <c r="L5" s="39"/>
      <c r="M5" s="39"/>
      <c r="N5" s="39"/>
      <c r="O5" s="39"/>
      <c r="P5" s="45"/>
    </row>
    <row r="6" spans="1:16" ht="15">
      <c r="A6" s="40"/>
      <c r="B6" s="41"/>
      <c r="C6" s="46"/>
      <c r="D6" s="40"/>
      <c r="E6" s="42"/>
      <c r="F6" s="42"/>
      <c r="G6" s="42"/>
      <c r="H6" s="42"/>
      <c r="I6" s="42"/>
      <c r="J6" s="42"/>
      <c r="K6" s="42"/>
      <c r="L6" s="47"/>
      <c r="M6" s="47"/>
      <c r="N6" s="47"/>
      <c r="O6" s="47"/>
      <c r="P6" s="48"/>
    </row>
    <row r="7" spans="1:16" ht="30">
      <c r="A7" s="73" t="s">
        <v>102</v>
      </c>
      <c r="B7" s="78" t="s">
        <v>4</v>
      </c>
      <c r="C7" s="75">
        <f>'Recycling Increases'!B27</f>
        <v>50.10000000000002</v>
      </c>
      <c r="D7" s="79"/>
      <c r="E7" s="80"/>
      <c r="F7" s="42"/>
      <c r="G7" s="42"/>
      <c r="H7" s="42"/>
      <c r="I7" s="42"/>
      <c r="J7" s="42"/>
      <c r="K7" s="42"/>
      <c r="L7" s="39"/>
      <c r="M7" s="39"/>
      <c r="N7" s="39"/>
      <c r="O7" s="39"/>
      <c r="P7" s="45"/>
    </row>
    <row r="8" spans="1:16" ht="15">
      <c r="A8" s="40"/>
      <c r="B8" s="41"/>
      <c r="C8" s="49"/>
      <c r="D8" s="50"/>
      <c r="E8" s="51"/>
      <c r="F8" s="51"/>
      <c r="G8" s="51"/>
      <c r="H8" s="51"/>
      <c r="I8" s="51"/>
      <c r="J8" s="51"/>
      <c r="K8" s="51"/>
      <c r="P8" s="43"/>
    </row>
    <row r="9" spans="1:16" s="55" customFormat="1" ht="27" customHeight="1">
      <c r="A9" s="73" t="s">
        <v>88</v>
      </c>
      <c r="B9" s="74" t="s">
        <v>0</v>
      </c>
      <c r="C9" s="75">
        <f>'Recycling Increases'!B28</f>
        <v>742.5</v>
      </c>
      <c r="D9" s="76" t="s">
        <v>99</v>
      </c>
      <c r="E9" s="77"/>
      <c r="F9" s="52"/>
      <c r="G9" s="52"/>
      <c r="H9" s="52"/>
      <c r="I9" s="52"/>
      <c r="J9" s="52"/>
      <c r="K9" s="52"/>
      <c r="L9" s="53"/>
      <c r="M9" s="53"/>
      <c r="N9" s="53"/>
      <c r="O9" s="53"/>
      <c r="P9" s="54"/>
    </row>
    <row r="10" spans="1:16" ht="15">
      <c r="A10" s="40"/>
      <c r="B10" s="41"/>
      <c r="C10" s="49"/>
      <c r="D10" s="40"/>
      <c r="E10" s="42"/>
      <c r="F10" s="42"/>
      <c r="G10" s="42"/>
      <c r="H10" s="42"/>
      <c r="I10" s="42"/>
      <c r="J10" s="42"/>
      <c r="K10" s="42"/>
      <c r="P10" s="43"/>
    </row>
    <row r="11" spans="1:16" ht="45.75" thickBot="1">
      <c r="A11" s="71" t="s">
        <v>37</v>
      </c>
      <c r="B11" s="72" t="s">
        <v>2</v>
      </c>
      <c r="C11" s="88">
        <f>'Partitioning analysis'!H12</f>
        <v>0.048</v>
      </c>
      <c r="D11" s="51" t="s">
        <v>89</v>
      </c>
      <c r="E11" s="51"/>
      <c r="F11" s="51"/>
      <c r="G11" s="51"/>
      <c r="H11" s="51"/>
      <c r="I11" s="51"/>
      <c r="J11" s="51"/>
      <c r="K11" s="51"/>
      <c r="L11" s="47"/>
      <c r="P11" s="43"/>
    </row>
    <row r="12" spans="1:16" ht="15.75" thickBot="1">
      <c r="A12" s="40" t="s">
        <v>95</v>
      </c>
      <c r="B12" s="68" t="s">
        <v>0</v>
      </c>
      <c r="C12" s="56">
        <f>'Recycling Increases'!E57</f>
        <v>35.63999999999999</v>
      </c>
      <c r="D12" s="42" t="s">
        <v>98</v>
      </c>
      <c r="E12" s="42"/>
      <c r="F12" s="42"/>
      <c r="G12" s="42"/>
      <c r="H12" s="42"/>
      <c r="I12" s="42"/>
      <c r="J12" s="42"/>
      <c r="K12" s="42"/>
      <c r="L12" s="34"/>
      <c r="M12" s="34"/>
      <c r="N12" s="34"/>
      <c r="O12" s="34"/>
      <c r="P12" s="43"/>
    </row>
    <row r="13" spans="1:16" ht="15">
      <c r="A13" s="36" t="s">
        <v>46</v>
      </c>
      <c r="B13" s="69" t="s">
        <v>4</v>
      </c>
      <c r="C13" s="70">
        <f>(C11)*((D13-2006)*1.7+C4)</f>
        <v>0.4464</v>
      </c>
      <c r="D13" s="57">
        <v>2006</v>
      </c>
      <c r="E13" s="36" t="s">
        <v>90</v>
      </c>
      <c r="F13" s="36"/>
      <c r="G13" s="36"/>
      <c r="H13" s="36"/>
      <c r="I13" s="36"/>
      <c r="J13" s="36"/>
      <c r="K13" s="36"/>
      <c r="L13" s="39"/>
      <c r="M13" s="39"/>
      <c r="N13" s="39"/>
      <c r="O13" s="39"/>
      <c r="P13" s="45"/>
    </row>
    <row r="14" spans="1:11" ht="15">
      <c r="A14" s="42"/>
      <c r="B14" s="42"/>
      <c r="C14" s="49"/>
      <c r="D14" s="58"/>
      <c r="E14" s="58"/>
      <c r="F14" s="58"/>
      <c r="G14" s="58"/>
      <c r="H14" s="58"/>
      <c r="I14" s="58"/>
      <c r="J14" s="58"/>
      <c r="K14" s="58"/>
    </row>
    <row r="15" spans="1:4" ht="15">
      <c r="A15" s="58"/>
      <c r="B15" s="58"/>
      <c r="C15" s="58"/>
      <c r="D15" s="58"/>
    </row>
    <row r="16" spans="1:4" ht="15">
      <c r="A16" s="58" t="s">
        <v>91</v>
      </c>
      <c r="B16" s="58"/>
      <c r="C16" s="58"/>
      <c r="D16" s="58"/>
    </row>
    <row r="17" spans="1:4" ht="15">
      <c r="A17" s="58"/>
      <c r="B17" s="58"/>
      <c r="C17" s="58"/>
      <c r="D17" s="58"/>
    </row>
    <row r="18" spans="1:4" ht="15">
      <c r="A18" s="58"/>
      <c r="B18" s="58"/>
      <c r="C18" s="58"/>
      <c r="D18" s="58"/>
    </row>
    <row r="19" spans="1:4" ht="15">
      <c r="A19" s="59" t="s">
        <v>47</v>
      </c>
      <c r="B19" s="60">
        <v>2006</v>
      </c>
      <c r="C19" s="60">
        <v>2010</v>
      </c>
      <c r="D19" s="61">
        <v>2030</v>
      </c>
    </row>
    <row r="20" spans="1:4" ht="15">
      <c r="A20" s="58" t="s">
        <v>96</v>
      </c>
      <c r="B20" s="65">
        <f>C4*C11</f>
        <v>0.4464</v>
      </c>
      <c r="C20" s="65">
        <f>(((C19-2006)*$C5)+$C4)*$C11</f>
        <v>0.7728</v>
      </c>
      <c r="D20" s="89">
        <f>(((D19-2006)*$C5)+$C4)*$C11</f>
        <v>2.4048</v>
      </c>
    </row>
    <row r="21" spans="1:4" ht="30">
      <c r="A21" s="66" t="s">
        <v>103</v>
      </c>
      <c r="B21" s="63"/>
      <c r="C21" s="67">
        <f>C20-B20</f>
        <v>0.3264</v>
      </c>
      <c r="D21" s="67">
        <f>D20-B20</f>
        <v>1.9583999999999997</v>
      </c>
    </row>
    <row r="22" spans="1:11" ht="15">
      <c r="A22" s="64"/>
      <c r="B22" s="65"/>
      <c r="C22" s="62"/>
      <c r="D22" s="62"/>
      <c r="F22" s="58"/>
      <c r="G22" s="58"/>
      <c r="H22" s="58"/>
      <c r="I22" s="58"/>
      <c r="J22" s="58"/>
      <c r="K22" s="58"/>
    </row>
  </sheetData>
  <sheetProtection/>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P57"/>
  <sheetViews>
    <sheetView zoomScalePageLayoutView="0" workbookViewId="0" topLeftCell="A1">
      <selection activeCell="F25" sqref="F25"/>
    </sheetView>
  </sheetViews>
  <sheetFormatPr defaultColWidth="9.140625" defaultRowHeight="15"/>
  <cols>
    <col min="1" max="1" width="17.421875" style="0" customWidth="1"/>
    <col min="2" max="2" width="12.8515625" style="0" customWidth="1"/>
    <col min="3" max="3" width="10.140625" style="6" bestFit="1" customWidth="1"/>
    <col min="15" max="15" width="15.140625" style="0" customWidth="1"/>
  </cols>
  <sheetData>
    <row r="1" spans="1:4" ht="15">
      <c r="A1" s="14"/>
      <c r="B1" s="14"/>
      <c r="C1" s="29"/>
      <c r="D1" s="14"/>
    </row>
    <row r="2" spans="1:4" ht="30">
      <c r="A2" s="15" t="s">
        <v>44</v>
      </c>
      <c r="B2" s="15" t="s">
        <v>45</v>
      </c>
      <c r="C2" s="30" t="s">
        <v>97</v>
      </c>
      <c r="D2" s="14"/>
    </row>
    <row r="3" spans="1:15" ht="15">
      <c r="A3" s="15">
        <v>2006</v>
      </c>
      <c r="B3" s="15">
        <v>9.3</v>
      </c>
      <c r="C3" s="30">
        <v>1446</v>
      </c>
      <c r="D3" s="14"/>
      <c r="N3" s="3"/>
      <c r="O3" s="4"/>
    </row>
    <row r="4" spans="1:16" ht="15">
      <c r="A4" s="15">
        <f>A3+1</f>
        <v>2007</v>
      </c>
      <c r="B4" s="15">
        <f>1.7+B3</f>
        <v>11</v>
      </c>
      <c r="C4" s="30"/>
      <c r="D4" s="14"/>
      <c r="N4" s="3"/>
      <c r="O4" s="4"/>
      <c r="P4" s="5"/>
    </row>
    <row r="5" spans="1:16" ht="15">
      <c r="A5" s="15">
        <f aca="true" t="shared" si="0" ref="A5:A27">A4+1</f>
        <v>2008</v>
      </c>
      <c r="B5" s="15">
        <f aca="true" t="shared" si="1" ref="B5:B27">1.7+B4</f>
        <v>12.7</v>
      </c>
      <c r="C5" s="30"/>
      <c r="D5" s="14"/>
      <c r="N5" s="3"/>
      <c r="O5" s="4"/>
      <c r="P5" s="5"/>
    </row>
    <row r="6" spans="1:16" ht="15">
      <c r="A6" s="15">
        <f t="shared" si="0"/>
        <v>2009</v>
      </c>
      <c r="B6" s="15">
        <f t="shared" si="1"/>
        <v>14.399999999999999</v>
      </c>
      <c r="C6" s="30"/>
      <c r="D6" s="14"/>
      <c r="N6" s="3"/>
      <c r="O6" s="4"/>
      <c r="P6" s="5"/>
    </row>
    <row r="7" spans="1:16" ht="15">
      <c r="A7" s="15">
        <f t="shared" si="0"/>
        <v>2010</v>
      </c>
      <c r="B7" s="15">
        <f t="shared" si="1"/>
        <v>16.099999999999998</v>
      </c>
      <c r="C7" s="30"/>
      <c r="D7" s="14"/>
      <c r="N7" s="3"/>
      <c r="O7" s="4"/>
      <c r="P7" s="5"/>
    </row>
    <row r="8" spans="1:16" ht="15">
      <c r="A8" s="15">
        <f t="shared" si="0"/>
        <v>2011</v>
      </c>
      <c r="B8" s="15">
        <f t="shared" si="1"/>
        <v>17.799999999999997</v>
      </c>
      <c r="C8" s="30"/>
      <c r="D8" s="14"/>
      <c r="N8" s="3"/>
      <c r="O8" s="4"/>
      <c r="P8" s="5"/>
    </row>
    <row r="9" spans="1:16" ht="15">
      <c r="A9" s="15">
        <f t="shared" si="0"/>
        <v>2012</v>
      </c>
      <c r="B9" s="15">
        <f t="shared" si="1"/>
        <v>19.499999999999996</v>
      </c>
      <c r="C9" s="30"/>
      <c r="D9" s="14"/>
      <c r="N9" s="3"/>
      <c r="O9" s="4"/>
      <c r="P9" s="5"/>
    </row>
    <row r="10" spans="1:16" ht="15">
      <c r="A10" s="15">
        <f t="shared" si="0"/>
        <v>2013</v>
      </c>
      <c r="B10" s="15">
        <f t="shared" si="1"/>
        <v>21.199999999999996</v>
      </c>
      <c r="N10" s="3"/>
      <c r="O10" s="4"/>
      <c r="P10" s="5"/>
    </row>
    <row r="11" spans="1:16" ht="15">
      <c r="A11" s="15">
        <f t="shared" si="0"/>
        <v>2014</v>
      </c>
      <c r="B11" s="15">
        <f t="shared" si="1"/>
        <v>22.899999999999995</v>
      </c>
      <c r="N11" s="3"/>
      <c r="O11" s="4"/>
      <c r="P11" s="5"/>
    </row>
    <row r="12" spans="1:16" ht="15">
      <c r="A12" s="15">
        <f t="shared" si="0"/>
        <v>2015</v>
      </c>
      <c r="B12" s="15">
        <f t="shared" si="1"/>
        <v>24.599999999999994</v>
      </c>
      <c r="N12" s="3"/>
      <c r="O12" s="4"/>
      <c r="P12" s="5"/>
    </row>
    <row r="13" spans="1:16" ht="15">
      <c r="A13" s="15">
        <f t="shared" si="0"/>
        <v>2016</v>
      </c>
      <c r="B13" s="15">
        <f t="shared" si="1"/>
        <v>26.299999999999994</v>
      </c>
      <c r="O13" s="1"/>
      <c r="P13" s="6"/>
    </row>
    <row r="14" spans="1:2" ht="15">
      <c r="A14" s="15">
        <f t="shared" si="0"/>
        <v>2017</v>
      </c>
      <c r="B14" s="15">
        <f t="shared" si="1"/>
        <v>27.999999999999993</v>
      </c>
    </row>
    <row r="15" spans="1:2" ht="15">
      <c r="A15" s="15">
        <f t="shared" si="0"/>
        <v>2018</v>
      </c>
      <c r="B15" s="15">
        <f t="shared" si="1"/>
        <v>29.699999999999992</v>
      </c>
    </row>
    <row r="16" spans="1:2" ht="15">
      <c r="A16" s="15">
        <f t="shared" si="0"/>
        <v>2019</v>
      </c>
      <c r="B16" s="15">
        <f t="shared" si="1"/>
        <v>31.39999999999999</v>
      </c>
    </row>
    <row r="17" spans="1:2" ht="15">
      <c r="A17" s="15">
        <f t="shared" si="0"/>
        <v>2020</v>
      </c>
      <c r="B17" s="15">
        <f t="shared" si="1"/>
        <v>33.099999999999994</v>
      </c>
    </row>
    <row r="18" spans="1:2" ht="15">
      <c r="A18" s="15">
        <f t="shared" si="0"/>
        <v>2021</v>
      </c>
      <c r="B18" s="15">
        <f t="shared" si="1"/>
        <v>34.8</v>
      </c>
    </row>
    <row r="19" spans="1:2" ht="15">
      <c r="A19" s="15">
        <f t="shared" si="0"/>
        <v>2022</v>
      </c>
      <c r="B19" s="15">
        <f t="shared" si="1"/>
        <v>36.5</v>
      </c>
    </row>
    <row r="20" spans="1:2" ht="15">
      <c r="A20" s="15">
        <f t="shared" si="0"/>
        <v>2023</v>
      </c>
      <c r="B20" s="15">
        <f t="shared" si="1"/>
        <v>38.2</v>
      </c>
    </row>
    <row r="21" spans="1:5" ht="15">
      <c r="A21" s="15">
        <f t="shared" si="0"/>
        <v>2024</v>
      </c>
      <c r="B21" s="15">
        <f t="shared" si="1"/>
        <v>39.900000000000006</v>
      </c>
      <c r="C21" s="31"/>
      <c r="D21" s="2"/>
      <c r="E21" s="2"/>
    </row>
    <row r="22" spans="1:5" ht="15">
      <c r="A22" s="15">
        <f t="shared" si="0"/>
        <v>2025</v>
      </c>
      <c r="B22" s="15">
        <f t="shared" si="1"/>
        <v>41.60000000000001</v>
      </c>
      <c r="C22" s="31"/>
      <c r="D22" s="2"/>
      <c r="E22" s="2"/>
    </row>
    <row r="23" spans="1:5" ht="15">
      <c r="A23" s="15">
        <f t="shared" si="0"/>
        <v>2026</v>
      </c>
      <c r="B23" s="15">
        <f t="shared" si="1"/>
        <v>43.30000000000001</v>
      </c>
      <c r="C23" s="31"/>
      <c r="D23" s="2"/>
      <c r="E23" s="2"/>
    </row>
    <row r="24" spans="1:5" ht="15">
      <c r="A24" s="15">
        <f t="shared" si="0"/>
        <v>2027</v>
      </c>
      <c r="B24" s="15">
        <f t="shared" si="1"/>
        <v>45.000000000000014</v>
      </c>
      <c r="C24" s="31"/>
      <c r="D24" s="2"/>
      <c r="E24" s="2"/>
    </row>
    <row r="25" spans="1:5" ht="15">
      <c r="A25" s="15">
        <f t="shared" si="0"/>
        <v>2028</v>
      </c>
      <c r="B25" s="15">
        <f t="shared" si="1"/>
        <v>46.70000000000002</v>
      </c>
      <c r="C25" s="31"/>
      <c r="D25" s="2"/>
      <c r="E25" s="2"/>
    </row>
    <row r="26" spans="1:5" ht="15">
      <c r="A26" s="15">
        <f t="shared" si="0"/>
        <v>2029</v>
      </c>
      <c r="B26" s="15">
        <f t="shared" si="1"/>
        <v>48.40000000000002</v>
      </c>
      <c r="C26" s="31"/>
      <c r="D26" s="2"/>
      <c r="E26" s="2"/>
    </row>
    <row r="27" spans="1:5" ht="15">
      <c r="A27" s="15">
        <f t="shared" si="0"/>
        <v>2030</v>
      </c>
      <c r="B27" s="15">
        <f t="shared" si="1"/>
        <v>50.10000000000002</v>
      </c>
      <c r="C27" s="32">
        <f>B27/'NEMA TRC Data'!H31</f>
        <v>7837.692940896279</v>
      </c>
      <c r="D27" s="2"/>
      <c r="E27" s="2"/>
    </row>
    <row r="28" spans="1:5" ht="15">
      <c r="A28" s="15"/>
      <c r="B28" s="2">
        <f>SUM(B3:B27)</f>
        <v>742.5</v>
      </c>
      <c r="D28" s="2"/>
      <c r="E28" s="2"/>
    </row>
    <row r="29" spans="1:5" ht="15">
      <c r="A29" s="15"/>
      <c r="B29" s="2"/>
      <c r="C29" s="31"/>
      <c r="D29" s="2"/>
      <c r="E29" s="2"/>
    </row>
    <row r="30" spans="1:5" ht="15">
      <c r="A30" s="15"/>
      <c r="B30" s="2"/>
      <c r="C30" s="31"/>
      <c r="D30" s="2"/>
      <c r="E30" s="2"/>
    </row>
    <row r="31" spans="1:5" ht="15">
      <c r="A31" s="15"/>
      <c r="B31" s="2"/>
      <c r="C31" s="31"/>
      <c r="D31" s="2"/>
      <c r="E31" s="2"/>
    </row>
    <row r="32" spans="1:5" ht="15">
      <c r="A32" s="16" t="s">
        <v>47</v>
      </c>
      <c r="B32" s="16" t="s">
        <v>48</v>
      </c>
      <c r="C32" s="31"/>
      <c r="D32" s="2"/>
      <c r="E32" s="16" t="s">
        <v>86</v>
      </c>
    </row>
    <row r="33" spans="1:5" ht="15">
      <c r="A33" s="2">
        <v>2006</v>
      </c>
      <c r="B33" s="16">
        <f>('Thermostat Hg Reductions'!$C$11)*((A33-2006)*1.7+$B$3)</f>
        <v>0.4464</v>
      </c>
      <c r="C33" s="31"/>
      <c r="D33" s="2"/>
      <c r="E33" s="2">
        <f>B33</f>
        <v>0.4464</v>
      </c>
    </row>
    <row r="34" spans="1:5" ht="15">
      <c r="A34" s="2">
        <f>A33+1</f>
        <v>2007</v>
      </c>
      <c r="B34" s="16">
        <f>('Thermostat Hg Reductions'!$C$11)*((A34-2006)*1.7+$B$3)</f>
        <v>0.528</v>
      </c>
      <c r="C34" s="31"/>
      <c r="D34" s="2"/>
      <c r="E34" s="2">
        <f>E33+B34</f>
        <v>0.9744</v>
      </c>
    </row>
    <row r="35" spans="1:5" ht="15">
      <c r="A35" s="2">
        <f aca="true" t="shared" si="2" ref="A35:A57">A34+1</f>
        <v>2008</v>
      </c>
      <c r="B35" s="16">
        <f>('Thermostat Hg Reductions'!$C$11)*((A35-2006)*1.7+$B$3)</f>
        <v>0.6096</v>
      </c>
      <c r="C35" s="31"/>
      <c r="D35" s="2"/>
      <c r="E35" s="2">
        <f aca="true" t="shared" si="3" ref="E35:E57">E34+B35</f>
        <v>1.584</v>
      </c>
    </row>
    <row r="36" spans="1:5" ht="15">
      <c r="A36" s="2">
        <f t="shared" si="2"/>
        <v>2009</v>
      </c>
      <c r="B36" s="16">
        <f>('Thermostat Hg Reductions'!$C$11)*((A36-2006)*1.7+$B$3)</f>
        <v>0.6912</v>
      </c>
      <c r="C36" s="31"/>
      <c r="D36" s="2"/>
      <c r="E36" s="2">
        <f t="shared" si="3"/>
        <v>2.2752</v>
      </c>
    </row>
    <row r="37" spans="1:5" ht="15">
      <c r="A37" s="2">
        <f t="shared" si="2"/>
        <v>2010</v>
      </c>
      <c r="B37" s="16">
        <f>('Thermostat Hg Reductions'!$C$11)*((A37-2006)*1.7+$B$3)</f>
        <v>0.7728</v>
      </c>
      <c r="E37" s="2">
        <f t="shared" si="3"/>
        <v>3.048</v>
      </c>
    </row>
    <row r="38" spans="1:5" ht="15">
      <c r="A38" s="2">
        <f t="shared" si="2"/>
        <v>2011</v>
      </c>
      <c r="B38" s="16">
        <f>('Thermostat Hg Reductions'!$C$11)*((A38-2006)*1.7+$B$3)</f>
        <v>0.8544</v>
      </c>
      <c r="E38" s="2">
        <f t="shared" si="3"/>
        <v>3.9024</v>
      </c>
    </row>
    <row r="39" spans="1:5" ht="15">
      <c r="A39" s="2">
        <f t="shared" si="2"/>
        <v>2012</v>
      </c>
      <c r="B39" s="16">
        <f>('Thermostat Hg Reductions'!$C$11)*((A39-2006)*1.7+$B$3)</f>
        <v>0.936</v>
      </c>
      <c r="E39" s="2">
        <f t="shared" si="3"/>
        <v>4.8384</v>
      </c>
    </row>
    <row r="40" spans="1:5" ht="15">
      <c r="A40" s="2">
        <f t="shared" si="2"/>
        <v>2013</v>
      </c>
      <c r="B40" s="16">
        <f>('Thermostat Hg Reductions'!$C$11)*((A40-2006)*1.7+$B$3)</f>
        <v>1.0176</v>
      </c>
      <c r="E40" s="2">
        <f t="shared" si="3"/>
        <v>5.856</v>
      </c>
    </row>
    <row r="41" spans="1:5" ht="15">
      <c r="A41" s="2">
        <f t="shared" si="2"/>
        <v>2014</v>
      </c>
      <c r="B41" s="16">
        <f>('Thermostat Hg Reductions'!$C$11)*((A41-2006)*1.7+$B$3)</f>
        <v>1.0992</v>
      </c>
      <c r="E41" s="2">
        <f t="shared" si="3"/>
        <v>6.9552</v>
      </c>
    </row>
    <row r="42" spans="1:5" ht="15">
      <c r="A42" s="2">
        <f t="shared" si="2"/>
        <v>2015</v>
      </c>
      <c r="B42" s="16">
        <f>('Thermostat Hg Reductions'!$C$11)*((A42-2006)*1.7+$B$3)</f>
        <v>1.1808</v>
      </c>
      <c r="E42" s="2">
        <f t="shared" si="3"/>
        <v>8.136</v>
      </c>
    </row>
    <row r="43" spans="1:5" ht="15">
      <c r="A43" s="2">
        <f t="shared" si="2"/>
        <v>2016</v>
      </c>
      <c r="B43" s="16">
        <f>('Thermostat Hg Reductions'!$C$11)*((A43-2006)*1.7+$B$3)</f>
        <v>1.2624</v>
      </c>
      <c r="E43" s="2">
        <f t="shared" si="3"/>
        <v>9.398399999999999</v>
      </c>
    </row>
    <row r="44" spans="1:5" ht="15">
      <c r="A44" s="2">
        <f t="shared" si="2"/>
        <v>2017</v>
      </c>
      <c r="B44" s="16">
        <f>('Thermostat Hg Reductions'!$C$11)*((A44-2006)*1.7+$B$3)</f>
        <v>1.344</v>
      </c>
      <c r="E44" s="2">
        <f t="shared" si="3"/>
        <v>10.742399999999998</v>
      </c>
    </row>
    <row r="45" spans="1:5" ht="15">
      <c r="A45" s="2">
        <f t="shared" si="2"/>
        <v>2018</v>
      </c>
      <c r="B45" s="16">
        <f>('Thermostat Hg Reductions'!$C$11)*((A45-2006)*1.7+$B$3)</f>
        <v>1.4256</v>
      </c>
      <c r="E45" s="2">
        <f t="shared" si="3"/>
        <v>12.167999999999997</v>
      </c>
    </row>
    <row r="46" spans="1:5" ht="15">
      <c r="A46" s="2">
        <f t="shared" si="2"/>
        <v>2019</v>
      </c>
      <c r="B46" s="16">
        <f>('Thermostat Hg Reductions'!$C$11)*((A46-2006)*1.7+$B$3)</f>
        <v>1.5071999999999999</v>
      </c>
      <c r="E46" s="2">
        <f t="shared" si="3"/>
        <v>13.675199999999997</v>
      </c>
    </row>
    <row r="47" spans="1:5" ht="15">
      <c r="A47" s="2">
        <f t="shared" si="2"/>
        <v>2020</v>
      </c>
      <c r="B47" s="16">
        <f>('Thermostat Hg Reductions'!$C$11)*((A47-2006)*1.7+$B$3)</f>
        <v>1.5888000000000002</v>
      </c>
      <c r="E47" s="2">
        <f t="shared" si="3"/>
        <v>15.263999999999998</v>
      </c>
    </row>
    <row r="48" spans="1:5" ht="15">
      <c r="A48" s="2">
        <f t="shared" si="2"/>
        <v>2021</v>
      </c>
      <c r="B48" s="16">
        <f>('Thermostat Hg Reductions'!$C$11)*((A48-2006)*1.7+$B$3)</f>
        <v>1.6703999999999999</v>
      </c>
      <c r="E48" s="2">
        <f t="shared" si="3"/>
        <v>16.934399999999997</v>
      </c>
    </row>
    <row r="49" spans="1:5" ht="15">
      <c r="A49" s="2">
        <f t="shared" si="2"/>
        <v>2022</v>
      </c>
      <c r="B49" s="16">
        <f>('Thermostat Hg Reductions'!$C$11)*((A49-2006)*1.7+$B$3)</f>
        <v>1.752</v>
      </c>
      <c r="E49" s="2">
        <f t="shared" si="3"/>
        <v>18.686399999999995</v>
      </c>
    </row>
    <row r="50" spans="1:5" ht="15">
      <c r="A50" s="2">
        <f t="shared" si="2"/>
        <v>2023</v>
      </c>
      <c r="B50" s="16">
        <f>('Thermostat Hg Reductions'!$C$11)*((A50-2006)*1.7+$B$3)</f>
        <v>1.8336000000000001</v>
      </c>
      <c r="E50" s="2">
        <f t="shared" si="3"/>
        <v>20.519999999999996</v>
      </c>
    </row>
    <row r="51" spans="1:5" ht="15">
      <c r="A51" s="2">
        <f t="shared" si="2"/>
        <v>2024</v>
      </c>
      <c r="B51" s="16">
        <f>('Thermostat Hg Reductions'!$C$11)*((A51-2006)*1.7+$B$3)</f>
        <v>1.9152</v>
      </c>
      <c r="E51" s="2">
        <f t="shared" si="3"/>
        <v>22.435199999999995</v>
      </c>
    </row>
    <row r="52" spans="1:5" ht="15">
      <c r="A52" s="2">
        <f t="shared" si="2"/>
        <v>2025</v>
      </c>
      <c r="B52" s="16">
        <f>('Thermostat Hg Reductions'!$C$11)*((A52-2006)*1.7+$B$3)</f>
        <v>1.9967999999999997</v>
      </c>
      <c r="E52" s="2">
        <f t="shared" si="3"/>
        <v>24.431999999999995</v>
      </c>
    </row>
    <row r="53" spans="1:5" ht="15">
      <c r="A53" s="2">
        <f t="shared" si="2"/>
        <v>2026</v>
      </c>
      <c r="B53" s="16">
        <f>('Thermostat Hg Reductions'!$C$11)*((A53-2006)*1.7+$B$3)</f>
        <v>2.0784</v>
      </c>
      <c r="E53" s="2">
        <f t="shared" si="3"/>
        <v>26.510399999999994</v>
      </c>
    </row>
    <row r="54" spans="1:5" ht="15">
      <c r="A54" s="2">
        <f t="shared" si="2"/>
        <v>2027</v>
      </c>
      <c r="B54" s="16">
        <f>('Thermostat Hg Reductions'!$C$11)*((A54-2006)*1.7+$B$3)</f>
        <v>2.16</v>
      </c>
      <c r="E54" s="2">
        <f t="shared" si="3"/>
        <v>28.670399999999994</v>
      </c>
    </row>
    <row r="55" spans="1:5" ht="15">
      <c r="A55" s="2">
        <f t="shared" si="2"/>
        <v>2028</v>
      </c>
      <c r="B55" s="16">
        <f>('Thermostat Hg Reductions'!$C$11)*((A55-2006)*1.7+$B$3)</f>
        <v>2.2416</v>
      </c>
      <c r="E55" s="2">
        <f t="shared" si="3"/>
        <v>30.911999999999992</v>
      </c>
    </row>
    <row r="56" spans="1:5" ht="15">
      <c r="A56" s="2">
        <f t="shared" si="2"/>
        <v>2029</v>
      </c>
      <c r="B56" s="16">
        <f>('Thermostat Hg Reductions'!$C$11)*((A56-2006)*1.7+$B$3)</f>
        <v>2.3232000000000004</v>
      </c>
      <c r="E56" s="2">
        <f t="shared" si="3"/>
        <v>33.23519999999999</v>
      </c>
    </row>
    <row r="57" spans="1:5" ht="15">
      <c r="A57" s="2">
        <f t="shared" si="2"/>
        <v>2030</v>
      </c>
      <c r="B57" s="16">
        <f>('Thermostat Hg Reductions'!$C$11)*((A57-2006)*1.7+$B$3)</f>
        <v>2.4048</v>
      </c>
      <c r="E57" s="2">
        <f t="shared" si="3"/>
        <v>35.63999999999999</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6"/>
  <sheetViews>
    <sheetView zoomScalePageLayoutView="0" workbookViewId="0" topLeftCell="A1">
      <selection activeCell="H31" sqref="H31"/>
    </sheetView>
  </sheetViews>
  <sheetFormatPr defaultColWidth="9.140625" defaultRowHeight="15"/>
  <cols>
    <col min="2" max="2" width="19.421875" style="0" customWidth="1"/>
    <col min="6" max="6" width="14.140625" style="0" customWidth="1"/>
    <col min="7" max="7" width="12.28125" style="0" customWidth="1"/>
  </cols>
  <sheetData>
    <row r="1" spans="1:5" ht="45">
      <c r="A1" s="17" t="s">
        <v>49</v>
      </c>
      <c r="B1" s="17" t="s">
        <v>50</v>
      </c>
      <c r="C1" s="17" t="s">
        <v>51</v>
      </c>
      <c r="D1" s="18" t="s">
        <v>52</v>
      </c>
      <c r="E1" s="19" t="s">
        <v>53</v>
      </c>
    </row>
    <row r="2" spans="1:5" ht="15">
      <c r="A2" s="17" t="s">
        <v>54</v>
      </c>
      <c r="B2" s="17" t="s">
        <v>55</v>
      </c>
      <c r="C2" s="17">
        <v>92805</v>
      </c>
      <c r="D2" s="20">
        <v>100</v>
      </c>
      <c r="E2" s="21">
        <v>1.2213999999999998</v>
      </c>
    </row>
    <row r="3" spans="1:5" ht="15">
      <c r="A3" s="22"/>
      <c r="B3" s="17" t="s">
        <v>56</v>
      </c>
      <c r="C3" s="17">
        <v>92805</v>
      </c>
      <c r="D3" s="20">
        <v>306</v>
      </c>
      <c r="E3" s="21">
        <v>4.2408</v>
      </c>
    </row>
    <row r="4" spans="1:5" ht="15">
      <c r="A4" s="22"/>
      <c r="B4" s="17" t="s">
        <v>57</v>
      </c>
      <c r="C4" s="17">
        <v>91206</v>
      </c>
      <c r="D4" s="20">
        <v>78</v>
      </c>
      <c r="E4" s="21">
        <v>0.7812</v>
      </c>
    </row>
    <row r="5" spans="1:5" ht="15">
      <c r="A5" s="22"/>
      <c r="B5" s="17" t="s">
        <v>58</v>
      </c>
      <c r="C5" s="17">
        <v>90620</v>
      </c>
      <c r="D5" s="20">
        <v>96</v>
      </c>
      <c r="E5" s="21">
        <v>1.6058</v>
      </c>
    </row>
    <row r="6" spans="1:5" ht="15">
      <c r="A6" s="22"/>
      <c r="B6" s="17" t="s">
        <v>59</v>
      </c>
      <c r="C6" s="17">
        <v>91502</v>
      </c>
      <c r="D6" s="20">
        <v>52</v>
      </c>
      <c r="E6" s="21">
        <v>1.178</v>
      </c>
    </row>
    <row r="7" spans="1:5" ht="15">
      <c r="A7" s="22"/>
      <c r="B7" s="17" t="s">
        <v>60</v>
      </c>
      <c r="C7" s="17">
        <v>94320</v>
      </c>
      <c r="D7" s="27">
        <v>47</v>
      </c>
      <c r="E7" s="21">
        <v>0.9548</v>
      </c>
    </row>
    <row r="8" spans="1:5" ht="15">
      <c r="A8" s="22"/>
      <c r="B8" s="22"/>
      <c r="C8" s="24">
        <v>94520</v>
      </c>
      <c r="D8" s="28">
        <v>463</v>
      </c>
      <c r="E8" s="26">
        <v>5.7101999999999995</v>
      </c>
    </row>
    <row r="9" spans="1:5" ht="15">
      <c r="A9" s="22"/>
      <c r="B9" s="17" t="s">
        <v>61</v>
      </c>
      <c r="C9" s="17">
        <v>92020</v>
      </c>
      <c r="D9" s="20">
        <v>60</v>
      </c>
      <c r="E9" s="21">
        <v>0.5704</v>
      </c>
    </row>
    <row r="10" spans="1:5" ht="15">
      <c r="A10" s="22"/>
      <c r="B10" s="17" t="s">
        <v>62</v>
      </c>
      <c r="C10" s="17">
        <v>91731</v>
      </c>
      <c r="D10" s="20">
        <v>248</v>
      </c>
      <c r="E10" s="21">
        <v>1.9467999999999996</v>
      </c>
    </row>
    <row r="11" spans="1:5" ht="15">
      <c r="A11" s="22"/>
      <c r="B11" s="17" t="s">
        <v>63</v>
      </c>
      <c r="C11" s="17">
        <v>92020</v>
      </c>
      <c r="D11" s="20">
        <v>64</v>
      </c>
      <c r="E11" s="21">
        <v>0.5146</v>
      </c>
    </row>
    <row r="12" spans="1:5" ht="15">
      <c r="A12" s="22"/>
      <c r="B12" s="17" t="s">
        <v>64</v>
      </c>
      <c r="C12" s="17">
        <v>93703</v>
      </c>
      <c r="D12" s="20">
        <v>235</v>
      </c>
      <c r="E12" s="21">
        <v>3.1929999999999996</v>
      </c>
    </row>
    <row r="13" spans="1:5" ht="15">
      <c r="A13" s="22"/>
      <c r="B13" s="22"/>
      <c r="C13" s="24">
        <v>93706</v>
      </c>
      <c r="D13" s="25">
        <v>143</v>
      </c>
      <c r="E13" s="26">
        <v>4.2904</v>
      </c>
    </row>
    <row r="14" spans="1:5" ht="15">
      <c r="A14" s="22"/>
      <c r="B14" s="22"/>
      <c r="C14" s="24">
        <v>93727</v>
      </c>
      <c r="D14" s="25">
        <v>50</v>
      </c>
      <c r="E14" s="26">
        <v>0.5022</v>
      </c>
    </row>
    <row r="15" spans="1:5" ht="15">
      <c r="A15" s="22"/>
      <c r="B15" s="17" t="s">
        <v>65</v>
      </c>
      <c r="C15" s="17">
        <v>90248</v>
      </c>
      <c r="D15" s="20">
        <v>57</v>
      </c>
      <c r="E15" s="21">
        <v>1.1098</v>
      </c>
    </row>
    <row r="16" spans="1:5" ht="15">
      <c r="A16" s="22"/>
      <c r="B16" s="17" t="s">
        <v>66</v>
      </c>
      <c r="C16" s="17">
        <v>92630</v>
      </c>
      <c r="D16" s="20">
        <v>150</v>
      </c>
      <c r="E16" s="21">
        <v>4.433000000000001</v>
      </c>
    </row>
    <row r="17" spans="1:5" ht="15">
      <c r="A17" s="22"/>
      <c r="B17" s="17" t="s">
        <v>67</v>
      </c>
      <c r="C17" s="17">
        <v>94551</v>
      </c>
      <c r="D17" s="27">
        <v>95</v>
      </c>
      <c r="E17" s="21">
        <v>1.8041999999999998</v>
      </c>
    </row>
    <row r="18" spans="1:5" ht="15">
      <c r="A18" s="22"/>
      <c r="B18" s="17" t="s">
        <v>68</v>
      </c>
      <c r="C18" s="17">
        <v>90016</v>
      </c>
      <c r="D18" s="20">
        <v>31</v>
      </c>
      <c r="E18" s="21">
        <v>0.5084</v>
      </c>
    </row>
    <row r="19" spans="1:5" ht="15">
      <c r="A19" s="22"/>
      <c r="B19" s="17" t="s">
        <v>69</v>
      </c>
      <c r="C19" s="17">
        <v>95351</v>
      </c>
      <c r="D19" s="27">
        <v>73</v>
      </c>
      <c r="E19" s="21">
        <v>0.8865999999999999</v>
      </c>
    </row>
    <row r="20" spans="1:5" ht="15">
      <c r="A20" s="22"/>
      <c r="B20" s="17" t="s">
        <v>70</v>
      </c>
      <c r="C20" s="17">
        <v>91754</v>
      </c>
      <c r="D20" s="20">
        <v>64</v>
      </c>
      <c r="E20" s="21">
        <v>2.8272</v>
      </c>
    </row>
    <row r="21" spans="1:5" ht="15">
      <c r="A21" s="22"/>
      <c r="B21" s="17" t="s">
        <v>71</v>
      </c>
      <c r="C21" s="17">
        <v>91761</v>
      </c>
      <c r="D21" s="20">
        <v>108</v>
      </c>
      <c r="E21" s="21">
        <v>1.8538000000000001</v>
      </c>
    </row>
    <row r="22" spans="1:5" ht="15">
      <c r="A22" s="22"/>
      <c r="B22" s="17" t="s">
        <v>72</v>
      </c>
      <c r="C22" s="17">
        <v>91768</v>
      </c>
      <c r="D22" s="20">
        <v>228</v>
      </c>
      <c r="E22" s="21">
        <v>2.6969999999999996</v>
      </c>
    </row>
    <row r="23" spans="1:5" ht="15">
      <c r="A23" s="22"/>
      <c r="B23" s="17" t="s">
        <v>73</v>
      </c>
      <c r="C23" s="17">
        <v>95827</v>
      </c>
      <c r="D23" s="20">
        <v>63</v>
      </c>
      <c r="E23" s="21">
        <v>0.8432</v>
      </c>
    </row>
    <row r="24" spans="1:5" ht="15">
      <c r="A24" s="22"/>
      <c r="B24" s="17" t="s">
        <v>74</v>
      </c>
      <c r="C24" s="17">
        <v>92501</v>
      </c>
      <c r="D24" s="20">
        <v>641</v>
      </c>
      <c r="E24" s="21">
        <v>8.605599999999999</v>
      </c>
    </row>
    <row r="25" spans="1:5" ht="15">
      <c r="A25" s="22"/>
      <c r="B25" s="17" t="s">
        <v>75</v>
      </c>
      <c r="C25" s="17">
        <v>94080</v>
      </c>
      <c r="D25" s="27">
        <v>117</v>
      </c>
      <c r="E25" s="21">
        <v>1.3763999999999998</v>
      </c>
    </row>
    <row r="26" spans="1:5" ht="15">
      <c r="A26" s="22"/>
      <c r="B26" s="17" t="s">
        <v>76</v>
      </c>
      <c r="C26" s="17">
        <v>95815</v>
      </c>
      <c r="D26" s="20">
        <v>37</v>
      </c>
      <c r="E26" s="21">
        <v>0.775</v>
      </c>
    </row>
    <row r="27" spans="1:5" ht="15">
      <c r="A27" s="22"/>
      <c r="B27" s="17" t="s">
        <v>77</v>
      </c>
      <c r="C27" s="17">
        <v>91950</v>
      </c>
      <c r="D27" s="20">
        <v>87</v>
      </c>
      <c r="E27" s="21">
        <v>1.5066</v>
      </c>
    </row>
    <row r="28" spans="1:5" ht="15">
      <c r="A28" s="22"/>
      <c r="B28" s="22"/>
      <c r="C28" s="24">
        <v>92110</v>
      </c>
      <c r="D28" s="25">
        <v>272</v>
      </c>
      <c r="E28" s="26">
        <v>2.9264</v>
      </c>
    </row>
    <row r="29" spans="1:8" ht="15">
      <c r="A29" s="22"/>
      <c r="B29" s="22"/>
      <c r="C29" s="24">
        <v>92111</v>
      </c>
      <c r="D29" s="25">
        <v>296</v>
      </c>
      <c r="E29" s="26">
        <v>5.7722</v>
      </c>
      <c r="G29" t="s">
        <v>42</v>
      </c>
      <c r="H29" t="s">
        <v>100</v>
      </c>
    </row>
    <row r="30" spans="1:8" ht="15">
      <c r="A30" s="22"/>
      <c r="B30" s="17" t="s">
        <v>78</v>
      </c>
      <c r="C30" s="17">
        <v>95112</v>
      </c>
      <c r="D30" s="27">
        <v>445</v>
      </c>
      <c r="E30" s="21">
        <v>6.3054</v>
      </c>
      <c r="F30" t="s">
        <v>79</v>
      </c>
      <c r="G30">
        <f>SUM(D7,D8,D17,D25,D30,D31,D33,D19)</f>
        <v>1446</v>
      </c>
      <c r="H30">
        <f>SUM(E7,E8,E17,E19,E25,E30,E31,E33)*0.453</f>
        <v>9.243102599999999</v>
      </c>
    </row>
    <row r="31" spans="1:8" ht="15">
      <c r="A31" s="22"/>
      <c r="B31" s="17" t="s">
        <v>80</v>
      </c>
      <c r="C31" s="17">
        <v>94577</v>
      </c>
      <c r="D31" s="27">
        <v>162</v>
      </c>
      <c r="E31" s="21">
        <v>2.7652</v>
      </c>
      <c r="F31" t="s">
        <v>101</v>
      </c>
      <c r="H31">
        <f>H30/G30</f>
        <v>0.00639218713692946</v>
      </c>
    </row>
    <row r="32" spans="1:5" ht="15">
      <c r="A32" s="22"/>
      <c r="B32" s="17" t="s">
        <v>81</v>
      </c>
      <c r="C32" s="17">
        <v>92705</v>
      </c>
      <c r="D32" s="20">
        <v>53</v>
      </c>
      <c r="E32" s="21">
        <v>0.961</v>
      </c>
    </row>
    <row r="33" spans="1:5" ht="15">
      <c r="A33" s="22"/>
      <c r="B33" s="17" t="s">
        <v>82</v>
      </c>
      <c r="C33" s="17">
        <v>95407</v>
      </c>
      <c r="D33" s="27">
        <v>44</v>
      </c>
      <c r="E33" s="21">
        <v>0.6013999999999999</v>
      </c>
    </row>
    <row r="34" spans="1:5" ht="15">
      <c r="A34" s="22"/>
      <c r="B34" s="17" t="s">
        <v>83</v>
      </c>
      <c r="C34" s="17">
        <v>91786</v>
      </c>
      <c r="D34" s="20">
        <v>67</v>
      </c>
      <c r="E34" s="21">
        <v>0.7874</v>
      </c>
    </row>
    <row r="35" spans="1:5" ht="15">
      <c r="A35" s="22"/>
      <c r="B35" s="17" t="s">
        <v>84</v>
      </c>
      <c r="C35" s="17">
        <v>91405</v>
      </c>
      <c r="D35" s="20">
        <v>78</v>
      </c>
      <c r="E35" s="21">
        <v>1.3144</v>
      </c>
    </row>
    <row r="36" spans="1:5" ht="15">
      <c r="A36" s="17" t="s">
        <v>85</v>
      </c>
      <c r="B36" s="23"/>
      <c r="C36" s="23"/>
      <c r="D36" s="20">
        <v>5110</v>
      </c>
      <c r="E36" s="21">
        <v>77.36980000000001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D16"/>
  <sheetViews>
    <sheetView zoomScalePageLayoutView="0" workbookViewId="0" topLeftCell="A1">
      <selection activeCell="L25" sqref="L25"/>
    </sheetView>
  </sheetViews>
  <sheetFormatPr defaultColWidth="9.140625" defaultRowHeight="15"/>
  <cols>
    <col min="2" max="2" width="15.00390625" style="0" customWidth="1"/>
    <col min="3" max="3" width="11.140625" style="0" customWidth="1"/>
  </cols>
  <sheetData>
    <row r="2" spans="1:3" ht="15">
      <c r="A2" t="s">
        <v>6</v>
      </c>
      <c r="C2" t="s">
        <v>19</v>
      </c>
    </row>
    <row r="3" spans="3:4" ht="15">
      <c r="C3" t="s">
        <v>17</v>
      </c>
      <c r="D3" t="s">
        <v>18</v>
      </c>
    </row>
    <row r="4" spans="2:3" ht="15">
      <c r="B4" s="3" t="s">
        <v>7</v>
      </c>
      <c r="C4" s="4">
        <v>38148493</v>
      </c>
    </row>
    <row r="5" spans="2:4" ht="15">
      <c r="B5" s="3" t="s">
        <v>8</v>
      </c>
      <c r="C5" s="4">
        <v>1548492</v>
      </c>
      <c r="D5" s="5">
        <v>4.0591039860997915</v>
      </c>
    </row>
    <row r="6" spans="2:4" ht="15">
      <c r="B6" s="3" t="s">
        <v>9</v>
      </c>
      <c r="C6" s="4">
        <v>1056477</v>
      </c>
      <c r="D6" s="5">
        <v>2.7692024426757826</v>
      </c>
    </row>
    <row r="7" spans="2:4" ht="15">
      <c r="B7" s="3" t="s">
        <v>10</v>
      </c>
      <c r="C7" s="4">
        <v>1846757</v>
      </c>
      <c r="D7" s="5">
        <v>4.840788861567874</v>
      </c>
    </row>
    <row r="8" spans="2:4" ht="15">
      <c r="B8" s="3" t="s">
        <v>11</v>
      </c>
      <c r="C8" s="4">
        <v>842625</v>
      </c>
      <c r="D8" s="5">
        <v>2.2094450755892248</v>
      </c>
    </row>
    <row r="9" spans="2:4" ht="15">
      <c r="B9" s="3" t="s">
        <v>12</v>
      </c>
      <c r="C9" s="4">
        <v>742251</v>
      </c>
      <c r="D9" s="5">
        <v>1.9457832842833398</v>
      </c>
    </row>
    <row r="10" spans="2:4" ht="15">
      <c r="B10" s="3" t="s">
        <v>13</v>
      </c>
      <c r="C10" s="4">
        <v>484547</v>
      </c>
      <c r="D10" s="5">
        <v>1.2701314308798515</v>
      </c>
    </row>
    <row r="11" spans="2:4" ht="15">
      <c r="B11" s="3" t="s">
        <v>14</v>
      </c>
      <c r="C11" s="4">
        <v>426026</v>
      </c>
      <c r="D11" s="5">
        <v>1.1166627211198095</v>
      </c>
    </row>
    <row r="12" spans="2:4" ht="15">
      <c r="B12" s="3" t="s">
        <v>15</v>
      </c>
      <c r="C12" s="4">
        <v>257522</v>
      </c>
      <c r="D12" s="5">
        <v>0.6750253542125505</v>
      </c>
    </row>
    <row r="13" spans="2:4" ht="15">
      <c r="B13" s="3" t="s">
        <v>16</v>
      </c>
      <c r="C13" s="4">
        <v>137010</v>
      </c>
      <c r="D13" s="5">
        <v>0.3591911219140426</v>
      </c>
    </row>
    <row r="14" spans="3:4" ht="15">
      <c r="C14" s="1">
        <f>SUM(C5:C13)</f>
        <v>7341707</v>
      </c>
      <c r="D14" s="6">
        <f>SUM(D5:D13)</f>
        <v>19.24533427834227</v>
      </c>
    </row>
    <row r="16" spans="2:4" ht="15">
      <c r="B16" s="3" t="s">
        <v>1</v>
      </c>
      <c r="C16" s="1">
        <v>304059724</v>
      </c>
      <c r="D16">
        <f>C14/C16</f>
        <v>0.024145608314766476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15"/>
  <sheetViews>
    <sheetView zoomScalePageLayoutView="0" workbookViewId="0" topLeftCell="A1">
      <selection activeCell="H31" sqref="H31"/>
    </sheetView>
  </sheetViews>
  <sheetFormatPr defaultColWidth="9.140625" defaultRowHeight="15"/>
  <cols>
    <col min="1" max="1" width="18.57421875" style="9" customWidth="1"/>
    <col min="2" max="2" width="16.7109375" style="9" customWidth="1"/>
    <col min="3" max="3" width="18.00390625" style="9" customWidth="1"/>
    <col min="4" max="4" width="14.8515625" style="9" customWidth="1"/>
    <col min="5" max="16384" width="9.140625" style="9" customWidth="1"/>
  </cols>
  <sheetData>
    <row r="1" ht="18.75">
      <c r="A1" s="13" t="s">
        <v>25</v>
      </c>
    </row>
    <row r="2" ht="15">
      <c r="A2" s="8" t="s">
        <v>20</v>
      </c>
    </row>
    <row r="3" ht="15">
      <c r="A3" s="9" t="s">
        <v>21</v>
      </c>
    </row>
    <row r="4" spans="1:3" ht="15">
      <c r="A4" s="9" t="s">
        <v>22</v>
      </c>
      <c r="B4" s="9" t="s">
        <v>23</v>
      </c>
      <c r="C4" s="9" t="s">
        <v>24</v>
      </c>
    </row>
    <row r="5" spans="1:3" ht="15">
      <c r="A5" t="s">
        <v>42</v>
      </c>
      <c r="B5" s="10">
        <v>618609</v>
      </c>
      <c r="C5" s="10">
        <v>365282</v>
      </c>
    </row>
    <row r="7" spans="1:2" ht="15">
      <c r="A7" s="12" t="s">
        <v>38</v>
      </c>
      <c r="B7" s="11"/>
    </row>
    <row r="8" spans="1:2" ht="15">
      <c r="A8" s="7" t="s">
        <v>39</v>
      </c>
      <c r="B8" s="11"/>
    </row>
    <row r="9" spans="1:2" ht="15">
      <c r="A9" s="7" t="s">
        <v>40</v>
      </c>
      <c r="B9" s="7" t="s">
        <v>41</v>
      </c>
    </row>
    <row r="10" spans="1:2" ht="15">
      <c r="A10" t="s">
        <v>42</v>
      </c>
      <c r="B10" s="7" t="s">
        <v>43</v>
      </c>
    </row>
    <row r="12" ht="15">
      <c r="A12" s="12"/>
    </row>
    <row r="13" ht="15">
      <c r="A13" s="7"/>
    </row>
    <row r="14" spans="1:3" ht="15">
      <c r="A14" s="7"/>
      <c r="B14" s="7"/>
      <c r="C14" s="7"/>
    </row>
    <row r="15" spans="1:3" ht="15">
      <c r="A15"/>
      <c r="B15" s="7"/>
      <c r="C15" s="7"/>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3"/>
  <sheetViews>
    <sheetView zoomScalePageLayoutView="0" workbookViewId="0" topLeftCell="A1">
      <selection activeCell="E5" sqref="E5"/>
    </sheetView>
  </sheetViews>
  <sheetFormatPr defaultColWidth="9.140625" defaultRowHeight="15"/>
  <cols>
    <col min="3" max="3" width="10.7109375" style="0" customWidth="1"/>
  </cols>
  <sheetData>
    <row r="1" ht="15">
      <c r="A1" t="s">
        <v>92</v>
      </c>
    </row>
    <row r="2" spans="4:6" ht="15">
      <c r="D2" t="s">
        <v>26</v>
      </c>
      <c r="E2" t="s">
        <v>27</v>
      </c>
      <c r="F2" t="s">
        <v>28</v>
      </c>
    </row>
    <row r="3" spans="1:6" ht="15">
      <c r="A3" t="s">
        <v>93</v>
      </c>
      <c r="C3" t="s">
        <v>29</v>
      </c>
      <c r="D3">
        <v>37</v>
      </c>
      <c r="E3" t="s">
        <v>94</v>
      </c>
      <c r="F3">
        <v>63</v>
      </c>
    </row>
    <row r="7" spans="1:3" ht="15">
      <c r="A7" t="s">
        <v>30</v>
      </c>
      <c r="C7" t="s">
        <v>33</v>
      </c>
    </row>
    <row r="8" spans="1:2" ht="15">
      <c r="A8" t="s">
        <v>31</v>
      </c>
      <c r="B8">
        <v>0.305</v>
      </c>
    </row>
    <row r="9" spans="1:2" ht="15">
      <c r="A9" t="s">
        <v>32</v>
      </c>
      <c r="B9">
        <v>0.466</v>
      </c>
    </row>
    <row r="12" spans="1:3" ht="15">
      <c r="A12" t="s">
        <v>34</v>
      </c>
      <c r="B12" t="s">
        <v>35</v>
      </c>
      <c r="C12" t="s">
        <v>36</v>
      </c>
    </row>
    <row r="13" ht="15">
      <c r="B13">
        <v>1000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18"/>
  <sheetViews>
    <sheetView zoomScalePageLayoutView="0" workbookViewId="0" topLeftCell="A1">
      <selection activeCell="F22" sqref="F22"/>
    </sheetView>
  </sheetViews>
  <sheetFormatPr defaultColWidth="9.140625" defaultRowHeight="15"/>
  <sheetData>
    <row r="1" ht="15">
      <c r="A1" s="83" t="s">
        <v>105</v>
      </c>
    </row>
    <row r="2" ht="15.75">
      <c r="A2" s="84" t="s">
        <v>106</v>
      </c>
    </row>
    <row r="3" ht="15.75">
      <c r="A3" s="85" t="s">
        <v>107</v>
      </c>
    </row>
    <row r="4" ht="18.75">
      <c r="A4" s="86" t="s">
        <v>108</v>
      </c>
    </row>
    <row r="5" ht="15.75">
      <c r="A5" s="87" t="s">
        <v>109</v>
      </c>
    </row>
    <row r="6" ht="15.75">
      <c r="A6" s="85" t="s">
        <v>110</v>
      </c>
    </row>
    <row r="7" ht="18.75">
      <c r="A7" s="85" t="s">
        <v>111</v>
      </c>
    </row>
    <row r="8" ht="15.75">
      <c r="A8" s="85" t="s">
        <v>112</v>
      </c>
    </row>
    <row r="9" ht="15.75">
      <c r="A9" s="84" t="s">
        <v>113</v>
      </c>
    </row>
    <row r="11" ht="15.75">
      <c r="A11" s="84"/>
    </row>
    <row r="12" spans="2:8" ht="15.75">
      <c r="B12" s="84" t="s">
        <v>114</v>
      </c>
      <c r="H12">
        <f>4.8%</f>
        <v>0.048</v>
      </c>
    </row>
    <row r="15" ht="15.75">
      <c r="A15" s="84" t="s">
        <v>115</v>
      </c>
    </row>
    <row r="18" ht="15">
      <c r="A18" s="83" t="s">
        <v>116</v>
      </c>
    </row>
  </sheetData>
  <sheetProtection/>
  <hyperlinks>
    <hyperlink ref="A1" location="_ftn1" display="_ftn1"/>
    <hyperlink ref="A18" location="_ftnref1" display="_ftnref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khavens</dc:creator>
  <cp:keywords/>
  <dc:description/>
  <cp:lastModifiedBy>Valued Acer Customer</cp:lastModifiedBy>
  <dcterms:created xsi:type="dcterms:W3CDTF">2009-03-18T22:00:53Z</dcterms:created>
  <dcterms:modified xsi:type="dcterms:W3CDTF">2011-03-30T21:04:27Z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