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comments3.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7610" windowHeight="8190" activeTab="0"/>
  </bookViews>
  <sheets>
    <sheet name="Bulb Sheet" sheetId="1" r:id="rId1"/>
    <sheet name="Load Reduction (both)" sheetId="2" r:id="rId2"/>
    <sheet name="NEWMOA Report" sheetId="3" r:id="rId3"/>
    <sheet name="CA_Bay Area Population" sheetId="4" r:id="rId4"/>
    <sheet name="CIWMB Report" sheetId="5" r:id="rId5"/>
    <sheet name="AB 1109 Report" sheetId="6" r:id="rId6"/>
    <sheet name="SFEI Tech Memo" sheetId="7" r:id="rId7"/>
    <sheet name="ALMR" sheetId="8" r:id="rId8"/>
    <sheet name="Partitioning analysis" sheetId="9" r:id="rId9"/>
  </sheets>
  <definedNames>
    <definedName name="_ftn1" localSheetId="8">'Partitioning analysis'!$A$18</definedName>
    <definedName name="_ftnref1" localSheetId="8">'Partitioning analysis'!$A$1</definedName>
  </definedNames>
  <calcPr fullCalcOnLoad="1"/>
</workbook>
</file>

<file path=xl/comments1.xml><?xml version="1.0" encoding="utf-8"?>
<comments xmlns="http://schemas.openxmlformats.org/spreadsheetml/2006/main">
  <authors>
    <author>khavens</author>
  </authors>
  <commentList>
    <comment ref="D8" authorId="0">
      <text>
        <r>
          <rPr>
            <b/>
            <sz val="8"/>
            <rFont val="Tahoma"/>
            <family val="2"/>
          </rPr>
          <t>khavens:</t>
        </r>
        <r>
          <rPr>
            <sz val="8"/>
            <rFont val="Tahoma"/>
            <family val="2"/>
          </rPr>
          <t xml:space="preserve">
based on AB1109 Bill report number</t>
        </r>
      </text>
    </comment>
    <comment ref="D4" authorId="0">
      <text>
        <r>
          <rPr>
            <b/>
            <sz val="8"/>
            <rFont val="Tahoma"/>
            <family val="2"/>
          </rPr>
          <t>khavens:</t>
        </r>
        <r>
          <rPr>
            <sz val="8"/>
            <rFont val="Tahoma"/>
            <family val="2"/>
          </rPr>
          <t xml:space="preserve">
Based on AB1109 figure for waste bulbs in 2009 times the percent population of CA in the Bay Area </t>
        </r>
      </text>
    </comment>
    <comment ref="D5" authorId="0">
      <text>
        <r>
          <rPr>
            <b/>
            <sz val="8"/>
            <rFont val="Tahoma"/>
            <family val="2"/>
          </rPr>
          <t>khavens:</t>
        </r>
        <r>
          <rPr>
            <sz val="8"/>
            <rFont val="Tahoma"/>
            <family val="2"/>
          </rPr>
          <t xml:space="preserve">
Weighted average from NEWMOA for CFLs</t>
        </r>
      </text>
    </comment>
    <comment ref="D21" authorId="0">
      <text>
        <r>
          <rPr>
            <b/>
            <sz val="8"/>
            <rFont val="Tahoma"/>
            <family val="2"/>
          </rPr>
          <t>khavens:</t>
        </r>
        <r>
          <rPr>
            <sz val="8"/>
            <rFont val="Tahoma"/>
            <family val="2"/>
          </rPr>
          <t xml:space="preserve">
Minnesota study showed that 37% of Hg from light bulbs ends up in the air. 
Using henry's law, roughly 30% of mass of Hg in air ends up in water particles. This would mean that 11.25% of Hg from fluorescent bulbs would end up in water particles.
When those water particles rain out, those that come in contact with waterbodies/streams/runoff will remain in water. Those that come in contact with soil will most likely remain in soil (Kd of Hg = 1000 L/kg). Those that come in contact with impervious surfaces are more likely to end up in water. Based on an imperviousness for the Bay of ~60-70% overall, we can assume that roughly half of the Hg in the rained-out particles will end up in water bodies in the bay area, and eventually in the bay itself. </t>
        </r>
      </text>
    </comment>
    <comment ref="B22" authorId="0">
      <text>
        <r>
          <rPr>
            <b/>
            <sz val="8"/>
            <rFont val="Tahoma"/>
            <family val="2"/>
          </rPr>
          <t>khavens:</t>
        </r>
        <r>
          <rPr>
            <sz val="8"/>
            <rFont val="Tahoma"/>
            <family val="2"/>
          </rPr>
          <t xml:space="preserve">
From projected mass recycled</t>
        </r>
      </text>
    </comment>
    <comment ref="D12" authorId="0">
      <text>
        <r>
          <rPr>
            <b/>
            <sz val="8"/>
            <rFont val="Tahoma"/>
            <family val="2"/>
          </rPr>
          <t>khavens:</t>
        </r>
        <r>
          <rPr>
            <sz val="8"/>
            <rFont val="Tahoma"/>
            <family val="2"/>
          </rPr>
          <t xml:space="preserve">
Minnesota study showed that 37% of Hg from light bulbs ends up in the air. 
Using henry's law, roughly 30% of mass of Hg in air ends up in water particles. This would mean that 11.25% of Hg from fluorescent bulbs would end up in water particles.
When those water particles rain out, those that come in contact with waterbodies/streams/runoff will remain in water. Those that come in contact with soil will most likely remain in soil (Kd of Hg = 1000 L/kg). Those that come in contact with impervious surfaces are more likely to end up in water. Based on an imperviousness for the Bay of ~60-70% overall, we can assume that roughly half of the Hg in the rained-out particles will end up in water bodies in the bay area, and eventually in the bay itself. </t>
        </r>
      </text>
    </comment>
    <comment ref="B13" authorId="0">
      <text>
        <r>
          <rPr>
            <b/>
            <sz val="8"/>
            <rFont val="Tahoma"/>
            <family val="2"/>
          </rPr>
          <t>khavens:</t>
        </r>
        <r>
          <rPr>
            <sz val="8"/>
            <rFont val="Tahoma"/>
            <family val="2"/>
          </rPr>
          <t xml:space="preserve">
From projected mass recycled</t>
        </r>
      </text>
    </comment>
    <comment ref="E4" authorId="0">
      <text>
        <r>
          <rPr>
            <b/>
            <sz val="8"/>
            <rFont val="Tahoma"/>
            <family val="2"/>
          </rPr>
          <t>khavens:</t>
        </r>
        <r>
          <rPr>
            <sz val="8"/>
            <rFont val="Tahoma"/>
            <family val="2"/>
          </rPr>
          <t xml:space="preserve">
Based on estimate of 670 million bulbs available for recycling times percent population of US living in Bay Area</t>
        </r>
      </text>
    </comment>
    <comment ref="E12" authorId="0">
      <text>
        <r>
          <rPr>
            <b/>
            <sz val="8"/>
            <rFont val="Tahoma"/>
            <family val="2"/>
          </rPr>
          <t>khavens:</t>
        </r>
        <r>
          <rPr>
            <sz val="8"/>
            <rFont val="Tahoma"/>
            <family val="2"/>
          </rPr>
          <t xml:space="preserve">
Minnesota study showed that 37% of Hg from light bulbs ends up in the air. 
Using henry's law, roughly 30% of mass of Hg in air ends up in water particles. This would mean that 11.25% of Hg from fluorescent bulbs would end up in water particles.
When those water particles rain out, those that come in contact with waterbodies/streams/runoff will remain in water. Those that come in contact with soil will most likely remain in soil (Kd of Hg = 1000 L/kg). Those that come in contact with impervious surfaces are more likely to end up in water. Based on an imperviousness for the Bay of ~60-70% overall, we can assume that roughly half of the Hg in the rained-out particles will end up in water bodies in the bay area, and eventually in the bay itself. </t>
        </r>
      </text>
    </comment>
  </commentList>
</comments>
</file>

<file path=xl/comments3.xml><?xml version="1.0" encoding="utf-8"?>
<comments xmlns="http://schemas.openxmlformats.org/spreadsheetml/2006/main">
  <authors>
    <author>khavens</author>
  </authors>
  <commentList>
    <comment ref="E14" authorId="0">
      <text>
        <r>
          <rPr>
            <b/>
            <sz val="8"/>
            <rFont val="Tahoma"/>
            <family val="2"/>
          </rPr>
          <t>khavens:</t>
        </r>
        <r>
          <rPr>
            <sz val="8"/>
            <rFont val="Tahoma"/>
            <family val="2"/>
          </rPr>
          <t xml:space="preserve">
kg Hg for bay area divided by 21 mg Hg per lamp to get lamp total</t>
        </r>
      </text>
    </comment>
    <comment ref="D14" authorId="0">
      <text>
        <r>
          <rPr>
            <b/>
            <sz val="8"/>
            <rFont val="Tahoma"/>
            <family val="2"/>
          </rPr>
          <t>khavens:</t>
        </r>
        <r>
          <rPr>
            <sz val="8"/>
            <rFont val="Tahoma"/>
            <family val="2"/>
          </rPr>
          <t xml:space="preserve">
kg Hg for Fluorescent lamps/cfls times the percent of the total population in the Bay area</t>
        </r>
      </text>
    </comment>
  </commentList>
</comments>
</file>

<file path=xl/sharedStrings.xml><?xml version="1.0" encoding="utf-8"?>
<sst xmlns="http://schemas.openxmlformats.org/spreadsheetml/2006/main" count="191" uniqueCount="164">
  <si>
    <t>Fluorescent</t>
  </si>
  <si>
    <t>0 - 5</t>
  </si>
  <si>
    <t>&gt; 5 - 10</t>
  </si>
  <si>
    <t>&gt; 10 - 50</t>
  </si>
  <si>
    <t>&gt; 50 - 100</t>
  </si>
  <si>
    <t>CFL</t>
  </si>
  <si>
    <t>&gt;10 - 50</t>
  </si>
  <si>
    <t>Weighted Average=</t>
  </si>
  <si>
    <t>NEWMOA Report</t>
  </si>
  <si>
    <t>NEWMOA report</t>
  </si>
  <si>
    <t>lbs</t>
  </si>
  <si>
    <t>kg</t>
  </si>
  <si>
    <t>times percent population of Bay Area</t>
  </si>
  <si>
    <t>US Population</t>
  </si>
  <si>
    <t>Current % Recycled</t>
  </si>
  <si>
    <t>%</t>
  </si>
  <si>
    <t>Projected % Recycled</t>
  </si>
  <si>
    <t>kg/yr</t>
  </si>
  <si>
    <t>Load Reduction</t>
  </si>
  <si>
    <t>CA demographics:</t>
  </si>
  <si>
    <t>California</t>
  </si>
  <si>
    <t>Alameda</t>
  </si>
  <si>
    <t>Contra Costa</t>
  </si>
  <si>
    <t>Santa Clara</t>
  </si>
  <si>
    <t>San Francisco</t>
  </si>
  <si>
    <t>San Mateo</t>
  </si>
  <si>
    <t>Sonoma</t>
  </si>
  <si>
    <t>Solano</t>
  </si>
  <si>
    <t>Marin</t>
  </si>
  <si>
    <t>Napa</t>
  </si>
  <si>
    <t>Number</t>
  </si>
  <si>
    <t>Percent</t>
  </si>
  <si>
    <t>http://www.dof.ca.gov/Research/Research.php</t>
  </si>
  <si>
    <t>Total Hg in fluorescent + CFLs</t>
  </si>
  <si>
    <t>Source</t>
  </si>
  <si>
    <t>bulbs/yr</t>
  </si>
  <si>
    <t>Mass Hg/Bulb</t>
  </si>
  <si>
    <t>mg Hg/bulb</t>
  </si>
  <si>
    <t>Mass Mercury in Bulbs</t>
  </si>
  <si>
    <t>Table 1</t>
  </si>
  <si>
    <t>2006 California Generated Volume by U-Waste Type</t>
  </si>
  <si>
    <t>U-Waste Type</t>
  </si>
  <si>
    <t>2001 Sales Volume</t>
  </si>
  <si>
    <t>Projected 2006 Generated</t>
  </si>
  <si>
    <t>15,555,556 lamps</t>
  </si>
  <si>
    <t xml:space="preserve">Fluorescent Lamps  </t>
  </si>
  <si>
    <t>17,444,444 lamps</t>
  </si>
  <si>
    <r>
      <t xml:space="preserve"> </t>
    </r>
    <r>
      <rPr>
        <b/>
        <sz val="9.9"/>
        <color indexed="8"/>
        <rFont val="Calibri"/>
        <family val="2"/>
      </rPr>
      <t xml:space="preserve">Table 2 </t>
    </r>
    <r>
      <rPr>
        <sz val="11"/>
        <rFont val="Calibri"/>
        <family val="2"/>
      </rPr>
      <t xml:space="preserve"> </t>
    </r>
  </si>
  <si>
    <r>
      <t xml:space="preserve"> </t>
    </r>
    <r>
      <rPr>
        <b/>
        <sz val="9.9"/>
        <color indexed="8"/>
        <rFont val="Calibri"/>
        <family val="2"/>
      </rPr>
      <t>Conversion Factors</t>
    </r>
    <r>
      <rPr>
        <b/>
        <sz val="6.4"/>
        <color indexed="8"/>
        <rFont val="Calibri"/>
        <family val="2"/>
      </rPr>
      <t xml:space="preserve">* </t>
    </r>
    <r>
      <rPr>
        <sz val="11"/>
        <rFont val="Calibri"/>
        <family val="2"/>
      </rPr>
      <t xml:space="preserve"> </t>
    </r>
  </si>
  <si>
    <r>
      <t xml:space="preserve"> </t>
    </r>
    <r>
      <rPr>
        <b/>
        <sz val="9.9"/>
        <color indexed="8"/>
        <rFont val="Calibri"/>
        <family val="2"/>
      </rPr>
      <t xml:space="preserve">U-Waste Type </t>
    </r>
    <r>
      <rPr>
        <sz val="11"/>
        <rFont val="Calibri"/>
        <family val="2"/>
      </rPr>
      <t xml:space="preserve"> </t>
    </r>
  </si>
  <si>
    <r>
      <t xml:space="preserve"> </t>
    </r>
    <r>
      <rPr>
        <b/>
        <sz val="9.9"/>
        <color indexed="8"/>
        <rFont val="Calibri"/>
        <family val="2"/>
      </rPr>
      <t xml:space="preserve">Conversion Factor </t>
    </r>
    <r>
      <rPr>
        <sz val="11"/>
        <rFont val="Calibri"/>
        <family val="2"/>
      </rPr>
      <t xml:space="preserve"> </t>
    </r>
  </si>
  <si>
    <r>
      <t xml:space="preserve"> </t>
    </r>
    <r>
      <rPr>
        <b/>
        <sz val="9.9"/>
        <color indexed="8"/>
        <rFont val="Calibri"/>
        <family val="2"/>
      </rPr>
      <t xml:space="preserve">Fluorescent Lamps </t>
    </r>
    <r>
      <rPr>
        <sz val="11"/>
        <rFont val="Calibri"/>
        <family val="2"/>
      </rPr>
      <t xml:space="preserve"> </t>
    </r>
  </si>
  <si>
    <r>
      <t xml:space="preserve"> </t>
    </r>
    <r>
      <rPr>
        <sz val="9.9"/>
        <color indexed="8"/>
        <rFont val="Calibri"/>
        <family val="2"/>
      </rPr>
      <t xml:space="preserve">1 unit = .625 pounds </t>
    </r>
    <r>
      <rPr>
        <sz val="11"/>
        <rFont val="Calibri"/>
        <family val="2"/>
      </rPr>
      <t xml:space="preserve"> </t>
    </r>
  </si>
  <si>
    <r>
      <t xml:space="preserve"> </t>
    </r>
    <r>
      <rPr>
        <b/>
        <sz val="9.9"/>
        <color indexed="8"/>
        <rFont val="Calibri"/>
        <family val="2"/>
      </rPr>
      <t xml:space="preserve">FY 2000–01 Collected Volume </t>
    </r>
    <r>
      <rPr>
        <sz val="11"/>
        <rFont val="Calibri"/>
        <family val="2"/>
      </rPr>
      <t xml:space="preserve"> </t>
    </r>
  </si>
  <si>
    <r>
      <t xml:space="preserve"> </t>
    </r>
    <r>
      <rPr>
        <b/>
        <sz val="9.9"/>
        <color indexed="8"/>
        <rFont val="Calibri"/>
        <family val="2"/>
      </rPr>
      <t xml:space="preserve">Projected 2006 CollectedVolume </t>
    </r>
    <r>
      <rPr>
        <sz val="11"/>
        <rFont val="Calibri"/>
        <family val="2"/>
      </rPr>
      <t xml:space="preserve"> </t>
    </r>
  </si>
  <si>
    <r>
      <t xml:space="preserve"> </t>
    </r>
    <r>
      <rPr>
        <b/>
        <sz val="9.9"/>
        <color indexed="8"/>
        <rFont val="Calibri"/>
        <family val="2"/>
      </rPr>
      <t xml:space="preserve">Fluorescent lamps </t>
    </r>
    <r>
      <rPr>
        <sz val="11"/>
        <rFont val="Calibri"/>
        <family val="2"/>
      </rPr>
      <t xml:space="preserve"> </t>
    </r>
  </si>
  <si>
    <r>
      <t xml:space="preserve"> </t>
    </r>
    <r>
      <rPr>
        <sz val="9.9"/>
        <color indexed="8"/>
        <rFont val="Calibri"/>
        <family val="2"/>
      </rPr>
      <t xml:space="preserve">18,814 lamps </t>
    </r>
    <r>
      <rPr>
        <sz val="11"/>
        <rFont val="Calibri"/>
        <family val="2"/>
      </rPr>
      <t xml:space="preserve"> </t>
    </r>
  </si>
  <si>
    <r>
      <t xml:space="preserve"> </t>
    </r>
    <r>
      <rPr>
        <sz val="9.9"/>
        <color indexed="8"/>
        <rFont val="Calibri"/>
        <family val="2"/>
      </rPr>
      <t xml:space="preserve">9,989,097 lamps </t>
    </r>
    <r>
      <rPr>
        <sz val="11"/>
        <rFont val="Calibri"/>
        <family val="2"/>
      </rPr>
      <t xml:space="preserve"> </t>
    </r>
  </si>
  <si>
    <r>
      <t xml:space="preserve"> </t>
    </r>
    <r>
      <rPr>
        <b/>
        <sz val="9.9"/>
        <color indexed="8"/>
        <rFont val="Calibri"/>
        <family val="2"/>
      </rPr>
      <t xml:space="preserve">Table 3 </t>
    </r>
    <r>
      <rPr>
        <sz val="11"/>
        <rFont val="Calibri"/>
        <family val="2"/>
      </rPr>
      <t xml:space="preserve"> </t>
    </r>
  </si>
  <si>
    <r>
      <t xml:space="preserve"> </t>
    </r>
    <r>
      <rPr>
        <b/>
        <sz val="9.9"/>
        <color indexed="8"/>
        <rFont val="Calibri"/>
        <family val="2"/>
      </rPr>
      <t xml:space="preserve">Projected 2006 Collected Volume by U-Waste Type </t>
    </r>
    <r>
      <rPr>
        <sz val="11"/>
        <rFont val="Calibri"/>
        <family val="2"/>
      </rPr>
      <t xml:space="preserve"> </t>
    </r>
  </si>
  <si>
    <t>For Households Only</t>
  </si>
  <si>
    <t xml:space="preserve"> </t>
  </si>
  <si>
    <r>
      <t xml:space="preserve"> </t>
    </r>
    <r>
      <rPr>
        <b/>
        <sz val="10.1"/>
        <color indexed="63"/>
        <rFont val="Calibri"/>
        <family val="2"/>
      </rPr>
      <t xml:space="preserve">2009 </t>
    </r>
    <r>
      <rPr>
        <sz val="11"/>
        <rFont val="Calibri"/>
        <family val="2"/>
      </rPr>
      <t xml:space="preserve"> </t>
    </r>
  </si>
  <si>
    <r>
      <t xml:space="preserve"> </t>
    </r>
    <r>
      <rPr>
        <b/>
        <sz val="10.1"/>
        <color indexed="63"/>
        <rFont val="Calibri"/>
        <family val="2"/>
      </rPr>
      <t xml:space="preserve">15,136,000 </t>
    </r>
    <r>
      <rPr>
        <sz val="11"/>
        <rFont val="Calibri"/>
        <family val="2"/>
      </rPr>
      <t xml:space="preserve"> </t>
    </r>
  </si>
  <si>
    <r>
      <t xml:space="preserve"> </t>
    </r>
    <r>
      <rPr>
        <b/>
        <sz val="10.1"/>
        <color indexed="63"/>
        <rFont val="Calibri"/>
        <family val="2"/>
      </rPr>
      <t xml:space="preserve">1,513,600 </t>
    </r>
    <r>
      <rPr>
        <sz val="11"/>
        <rFont val="Calibri"/>
        <family val="2"/>
      </rPr>
      <t xml:space="preserve"> </t>
    </r>
  </si>
  <si>
    <r>
      <t xml:space="preserve"> </t>
    </r>
    <r>
      <rPr>
        <b/>
        <sz val="10.1"/>
        <color indexed="63"/>
        <rFont val="Calibri"/>
        <family val="2"/>
      </rPr>
      <t xml:space="preserve">1,392,512 </t>
    </r>
    <r>
      <rPr>
        <sz val="11"/>
        <rFont val="Calibri"/>
        <family val="2"/>
      </rPr>
      <t xml:space="preserve"> </t>
    </r>
  </si>
  <si>
    <r>
      <t xml:space="preserve"> </t>
    </r>
    <r>
      <rPr>
        <b/>
        <sz val="10.1"/>
        <color indexed="63"/>
        <rFont val="Calibri"/>
        <family val="2"/>
      </rPr>
      <t xml:space="preserve">$835,507 </t>
    </r>
    <r>
      <rPr>
        <sz val="11"/>
        <rFont val="Calibri"/>
        <family val="2"/>
      </rPr>
      <t xml:space="preserve"> </t>
    </r>
  </si>
  <si>
    <r>
      <t xml:space="preserve"> </t>
    </r>
    <r>
      <rPr>
        <b/>
        <sz val="10.1"/>
        <color indexed="63"/>
        <rFont val="Calibri"/>
        <family val="2"/>
      </rPr>
      <t xml:space="preserve">121,088 </t>
    </r>
    <r>
      <rPr>
        <sz val="11"/>
        <rFont val="Calibri"/>
        <family val="2"/>
      </rPr>
      <t xml:space="preserve"> </t>
    </r>
  </si>
  <si>
    <r>
      <t xml:space="preserve"> </t>
    </r>
    <r>
      <rPr>
        <b/>
        <sz val="10.1"/>
        <color indexed="63"/>
        <rFont val="Calibri"/>
        <family val="2"/>
      </rPr>
      <t xml:space="preserve">$205,850 </t>
    </r>
    <r>
      <rPr>
        <sz val="11"/>
        <rFont val="Calibri"/>
        <family val="2"/>
      </rPr>
      <t xml:space="preserve"> </t>
    </r>
  </si>
  <si>
    <r>
      <t xml:space="preserve"> </t>
    </r>
    <r>
      <rPr>
        <b/>
        <sz val="10.1"/>
        <color indexed="63"/>
        <rFont val="Calibri"/>
        <family val="2"/>
      </rPr>
      <t xml:space="preserve">$1,041,357 </t>
    </r>
    <r>
      <rPr>
        <sz val="11"/>
        <rFont val="Calibri"/>
        <family val="2"/>
      </rPr>
      <t xml:space="preserve"> </t>
    </r>
  </si>
  <si>
    <r>
      <t xml:space="preserve"> </t>
    </r>
    <r>
      <rPr>
        <b/>
        <sz val="10.1"/>
        <color indexed="63"/>
        <rFont val="Calibri"/>
        <family val="2"/>
      </rPr>
      <t xml:space="preserve">2010 </t>
    </r>
    <r>
      <rPr>
        <sz val="11"/>
        <rFont val="Calibri"/>
        <family val="2"/>
      </rPr>
      <t xml:space="preserve"> </t>
    </r>
  </si>
  <si>
    <r>
      <t xml:space="preserve"> </t>
    </r>
    <r>
      <rPr>
        <b/>
        <sz val="10.1"/>
        <color indexed="63"/>
        <rFont val="Calibri"/>
        <family val="2"/>
      </rPr>
      <t xml:space="preserve">16,891,000 </t>
    </r>
    <r>
      <rPr>
        <sz val="11"/>
        <rFont val="Calibri"/>
        <family val="2"/>
      </rPr>
      <t xml:space="preserve"> </t>
    </r>
  </si>
  <si>
    <r>
      <t xml:space="preserve"> </t>
    </r>
    <r>
      <rPr>
        <b/>
        <sz val="10.1"/>
        <color indexed="63"/>
        <rFont val="Calibri"/>
        <family val="2"/>
      </rPr>
      <t xml:space="preserve">1,689,100 </t>
    </r>
    <r>
      <rPr>
        <sz val="11"/>
        <rFont val="Calibri"/>
        <family val="2"/>
      </rPr>
      <t xml:space="preserve"> </t>
    </r>
  </si>
  <si>
    <r>
      <t xml:space="preserve"> </t>
    </r>
    <r>
      <rPr>
        <b/>
        <sz val="10.1"/>
        <color indexed="63"/>
        <rFont val="Calibri"/>
        <family val="2"/>
      </rPr>
      <t xml:space="preserve">1,553,972 </t>
    </r>
    <r>
      <rPr>
        <sz val="11"/>
        <rFont val="Calibri"/>
        <family val="2"/>
      </rPr>
      <t xml:space="preserve"> </t>
    </r>
  </si>
  <si>
    <r>
      <t xml:space="preserve"> </t>
    </r>
    <r>
      <rPr>
        <b/>
        <sz val="10.1"/>
        <color indexed="63"/>
        <rFont val="Calibri"/>
        <family val="2"/>
      </rPr>
      <t xml:space="preserve">$932,383 </t>
    </r>
    <r>
      <rPr>
        <sz val="11"/>
        <rFont val="Calibri"/>
        <family val="2"/>
      </rPr>
      <t xml:space="preserve"> </t>
    </r>
  </si>
  <si>
    <r>
      <t xml:space="preserve"> </t>
    </r>
    <r>
      <rPr>
        <b/>
        <sz val="10.1"/>
        <color indexed="63"/>
        <rFont val="Calibri"/>
        <family val="2"/>
      </rPr>
      <t xml:space="preserve">135,128 </t>
    </r>
    <r>
      <rPr>
        <sz val="11"/>
        <rFont val="Calibri"/>
        <family val="2"/>
      </rPr>
      <t xml:space="preserve"> </t>
    </r>
  </si>
  <si>
    <r>
      <t xml:space="preserve"> </t>
    </r>
    <r>
      <rPr>
        <b/>
        <sz val="10.1"/>
        <color indexed="63"/>
        <rFont val="Calibri"/>
        <family val="2"/>
      </rPr>
      <t xml:space="preserve">$229,718 </t>
    </r>
    <r>
      <rPr>
        <sz val="11"/>
        <rFont val="Calibri"/>
        <family val="2"/>
      </rPr>
      <t xml:space="preserve"> </t>
    </r>
  </si>
  <si>
    <r>
      <t xml:space="preserve"> </t>
    </r>
    <r>
      <rPr>
        <b/>
        <sz val="10.1"/>
        <color indexed="63"/>
        <rFont val="Calibri"/>
        <family val="2"/>
      </rPr>
      <t xml:space="preserve">$1,162,101 </t>
    </r>
    <r>
      <rPr>
        <sz val="11"/>
        <rFont val="Calibri"/>
        <family val="2"/>
      </rPr>
      <t xml:space="preserve"> </t>
    </r>
  </si>
  <si>
    <r>
      <t xml:space="preserve"> </t>
    </r>
    <r>
      <rPr>
        <b/>
        <sz val="10.1"/>
        <color indexed="63"/>
        <rFont val="Calibri"/>
        <family val="2"/>
      </rPr>
      <t xml:space="preserve">2011 </t>
    </r>
    <r>
      <rPr>
        <sz val="11"/>
        <rFont val="Calibri"/>
        <family val="2"/>
      </rPr>
      <t xml:space="preserve"> </t>
    </r>
  </si>
  <si>
    <r>
      <t xml:space="preserve"> </t>
    </r>
    <r>
      <rPr>
        <b/>
        <sz val="10.1"/>
        <color indexed="63"/>
        <rFont val="Calibri"/>
        <family val="2"/>
      </rPr>
      <t xml:space="preserve">21,348,000 </t>
    </r>
    <r>
      <rPr>
        <sz val="11"/>
        <rFont val="Calibri"/>
        <family val="2"/>
      </rPr>
      <t xml:space="preserve"> </t>
    </r>
  </si>
  <si>
    <r>
      <t xml:space="preserve"> </t>
    </r>
    <r>
      <rPr>
        <b/>
        <sz val="10.1"/>
        <color indexed="63"/>
        <rFont val="Calibri"/>
        <family val="2"/>
      </rPr>
      <t xml:space="preserve">2,134,800 </t>
    </r>
    <r>
      <rPr>
        <sz val="11"/>
        <rFont val="Calibri"/>
        <family val="2"/>
      </rPr>
      <t xml:space="preserve"> </t>
    </r>
  </si>
  <si>
    <r>
      <t xml:space="preserve"> </t>
    </r>
    <r>
      <rPr>
        <b/>
        <sz val="10.1"/>
        <color indexed="63"/>
        <rFont val="Calibri"/>
        <family val="2"/>
      </rPr>
      <t xml:space="preserve">1,964,016 </t>
    </r>
    <r>
      <rPr>
        <sz val="11"/>
        <rFont val="Calibri"/>
        <family val="2"/>
      </rPr>
      <t xml:space="preserve"> </t>
    </r>
  </si>
  <si>
    <r>
      <t xml:space="preserve"> </t>
    </r>
    <r>
      <rPr>
        <b/>
        <sz val="10.1"/>
        <color indexed="63"/>
        <rFont val="Calibri"/>
        <family val="2"/>
      </rPr>
      <t xml:space="preserve">$1,178,410 </t>
    </r>
    <r>
      <rPr>
        <sz val="11"/>
        <rFont val="Calibri"/>
        <family val="2"/>
      </rPr>
      <t xml:space="preserve"> </t>
    </r>
  </si>
  <si>
    <r>
      <t xml:space="preserve"> </t>
    </r>
    <r>
      <rPr>
        <b/>
        <sz val="10.1"/>
        <color indexed="63"/>
        <rFont val="Calibri"/>
        <family val="2"/>
      </rPr>
      <t xml:space="preserve">170,784 </t>
    </r>
    <r>
      <rPr>
        <sz val="11"/>
        <rFont val="Calibri"/>
        <family val="2"/>
      </rPr>
      <t xml:space="preserve"> </t>
    </r>
  </si>
  <si>
    <r>
      <t xml:space="preserve"> </t>
    </r>
    <r>
      <rPr>
        <b/>
        <sz val="10.1"/>
        <color indexed="63"/>
        <rFont val="Calibri"/>
        <family val="2"/>
      </rPr>
      <t xml:space="preserve">$290,333 </t>
    </r>
    <r>
      <rPr>
        <sz val="11"/>
        <rFont val="Calibri"/>
        <family val="2"/>
      </rPr>
      <t xml:space="preserve"> </t>
    </r>
  </si>
  <si>
    <r>
      <t xml:space="preserve"> </t>
    </r>
    <r>
      <rPr>
        <b/>
        <sz val="10.1"/>
        <color indexed="63"/>
        <rFont val="Calibri"/>
        <family val="2"/>
      </rPr>
      <t xml:space="preserve">$1,468,742 </t>
    </r>
    <r>
      <rPr>
        <sz val="11"/>
        <rFont val="Calibri"/>
        <family val="2"/>
      </rPr>
      <t xml:space="preserve"> </t>
    </r>
  </si>
  <si>
    <r>
      <t xml:space="preserve"> </t>
    </r>
    <r>
      <rPr>
        <b/>
        <sz val="10.1"/>
        <color indexed="63"/>
        <rFont val="Calibri"/>
        <family val="2"/>
      </rPr>
      <t xml:space="preserve">2012 </t>
    </r>
    <r>
      <rPr>
        <sz val="11"/>
        <rFont val="Calibri"/>
        <family val="2"/>
      </rPr>
      <t xml:space="preserve"> </t>
    </r>
  </si>
  <si>
    <r>
      <t xml:space="preserve"> </t>
    </r>
    <r>
      <rPr>
        <b/>
        <sz val="10.1"/>
        <color indexed="63"/>
        <rFont val="Calibri"/>
        <family val="2"/>
      </rPr>
      <t xml:space="preserve">29,896,000 </t>
    </r>
    <r>
      <rPr>
        <sz val="11"/>
        <rFont val="Calibri"/>
        <family val="2"/>
      </rPr>
      <t xml:space="preserve"> </t>
    </r>
  </si>
  <si>
    <r>
      <t xml:space="preserve"> </t>
    </r>
    <r>
      <rPr>
        <b/>
        <sz val="10.1"/>
        <color indexed="63"/>
        <rFont val="Calibri"/>
        <family val="2"/>
      </rPr>
      <t xml:space="preserve">2,989,600 </t>
    </r>
    <r>
      <rPr>
        <sz val="11"/>
        <rFont val="Calibri"/>
        <family val="2"/>
      </rPr>
      <t xml:space="preserve"> </t>
    </r>
  </si>
  <si>
    <r>
      <t xml:space="preserve"> </t>
    </r>
    <r>
      <rPr>
        <b/>
        <sz val="10.1"/>
        <color indexed="63"/>
        <rFont val="Calibri"/>
        <family val="2"/>
      </rPr>
      <t xml:space="preserve">2,750,432 </t>
    </r>
    <r>
      <rPr>
        <sz val="11"/>
        <rFont val="Calibri"/>
        <family val="2"/>
      </rPr>
      <t xml:space="preserve"> </t>
    </r>
  </si>
  <si>
    <r>
      <t xml:space="preserve"> </t>
    </r>
    <r>
      <rPr>
        <b/>
        <sz val="10.1"/>
        <color indexed="63"/>
        <rFont val="Calibri"/>
        <family val="2"/>
      </rPr>
      <t xml:space="preserve">$1,650,259 </t>
    </r>
    <r>
      <rPr>
        <sz val="11"/>
        <rFont val="Calibri"/>
        <family val="2"/>
      </rPr>
      <t xml:space="preserve"> </t>
    </r>
  </si>
  <si>
    <r>
      <t xml:space="preserve"> </t>
    </r>
    <r>
      <rPr>
        <b/>
        <sz val="10.1"/>
        <color indexed="63"/>
        <rFont val="Calibri"/>
        <family val="2"/>
      </rPr>
      <t xml:space="preserve">239,168 </t>
    </r>
    <r>
      <rPr>
        <sz val="11"/>
        <rFont val="Calibri"/>
        <family val="2"/>
      </rPr>
      <t xml:space="preserve"> </t>
    </r>
  </si>
  <si>
    <r>
      <t xml:space="preserve"> </t>
    </r>
    <r>
      <rPr>
        <b/>
        <sz val="10.1"/>
        <color indexed="63"/>
        <rFont val="Calibri"/>
        <family val="2"/>
      </rPr>
      <t xml:space="preserve">$406,586 </t>
    </r>
    <r>
      <rPr>
        <sz val="11"/>
        <rFont val="Calibri"/>
        <family val="2"/>
      </rPr>
      <t xml:space="preserve"> </t>
    </r>
  </si>
  <si>
    <r>
      <t xml:space="preserve"> </t>
    </r>
    <r>
      <rPr>
        <b/>
        <sz val="10.1"/>
        <color indexed="63"/>
        <rFont val="Calibri"/>
        <family val="2"/>
      </rPr>
      <t xml:space="preserve">$2,056,845 </t>
    </r>
    <r>
      <rPr>
        <sz val="11"/>
        <rFont val="Calibri"/>
        <family val="2"/>
      </rPr>
      <t xml:space="preserve"> </t>
    </r>
  </si>
  <si>
    <t># Units</t>
  </si>
  <si>
    <t>For 10% Recycling</t>
  </si>
  <si>
    <t># Recycled</t>
  </si>
  <si>
    <t>Households?</t>
  </si>
  <si>
    <t>2009 lamps</t>
  </si>
  <si>
    <t>For CA</t>
  </si>
  <si>
    <t>times Bay Area Population</t>
  </si>
  <si>
    <t>AB1109 Bill</t>
  </si>
  <si>
    <t>AB1109 Sources</t>
  </si>
  <si>
    <t>SFEI Tech Memo</t>
  </si>
  <si>
    <t>Fluorescent bulbs</t>
  </si>
  <si>
    <t>Air</t>
  </si>
  <si>
    <t>Water</t>
  </si>
  <si>
    <t>Landfill</t>
  </si>
  <si>
    <t>Minn</t>
  </si>
  <si>
    <t>Wisc</t>
  </si>
  <si>
    <t>EPA Region 5</t>
  </si>
  <si>
    <t xml:space="preserve">Kcc for Hg </t>
  </si>
  <si>
    <t>at 20 C</t>
  </si>
  <si>
    <t>at 25 C</t>
  </si>
  <si>
    <t>roughly 30% of mass in air ends up in water</t>
  </si>
  <si>
    <t>Kd for Hg</t>
  </si>
  <si>
    <t>mg/kg soil / mg/L water</t>
  </si>
  <si>
    <t>if water from air comes in contact with soil, it will most likely sorb to soil</t>
  </si>
  <si>
    <t>Assumed % of Hg Mass (not recycled) that enters the Bay</t>
  </si>
  <si>
    <t>Scenario 2030: 80% Recycled</t>
  </si>
  <si>
    <t>Assuming 50% tube lamps and 50% CFLs</t>
  </si>
  <si>
    <t xml:space="preserve">No. Bulbs Available for Recycling per Year (Bay Area) </t>
  </si>
  <si>
    <t>Geosyntec assumption for 2030 percent recycled</t>
  </si>
  <si>
    <t>NEWMOA Source- NEMA 2004 flourescent bulbs; based on CFL bulb weighted averages</t>
  </si>
  <si>
    <t>Bulbs Available for Recycling in 2030</t>
  </si>
  <si>
    <t>Projected bulbs Recycled (2030)</t>
  </si>
  <si>
    <t>Mass Mercury Recycled</t>
  </si>
  <si>
    <t>CA AB1109 Report number times percent CA population in Bay Area</t>
  </si>
  <si>
    <t>AB 1109 bill estimation of 20% increase in CFL market per year to 2012, then assume a constant market (times population factor)</t>
  </si>
  <si>
    <t>Based on 80% recycling of bulbs available in 2030</t>
  </si>
  <si>
    <t>Talk with Paul Abernathy</t>
  </si>
  <si>
    <t xml:space="preserve">670 million bulbs sold in US in 2003 </t>
  </si>
  <si>
    <t>25% of bulbs recycled (estimated)</t>
  </si>
  <si>
    <t xml:space="preserve">by population, </t>
  </si>
  <si>
    <t>in bay area</t>
  </si>
  <si>
    <t>ALMR Estimates</t>
  </si>
  <si>
    <t>AB1109 Bill (Source 1)</t>
  </si>
  <si>
    <t>ALMR (Source 2)</t>
  </si>
  <si>
    <t>Mercury in Bulbs</t>
  </si>
  <si>
    <t xml:space="preserve"> Current percent bulb waste recycled estimates (AB1109, ALMR)</t>
  </si>
  <si>
    <t>Current Load Reduction</t>
  </si>
  <si>
    <t>Current bulbs recycled (2010)</t>
  </si>
  <si>
    <t>Current Mass Hg Recycled (2010)</t>
  </si>
  <si>
    <t>Projected Load Reduction</t>
  </si>
  <si>
    <t>Minnesota Barr Engineering study, EPA Kh, EPA Kd; See comment/ report; Henry's law constant: http://www.epa.gov/athens/learn2model/part-two/onsite/esthenry.html; Hg (elemental) at 20 C</t>
  </si>
  <si>
    <t>Amount of Hg in Lamp (mg)</t>
  </si>
  <si>
    <t>Percent of Lamps with Hg amount</t>
  </si>
  <si>
    <t>(uses median of Hg ranges)</t>
  </si>
  <si>
    <t>The percentage of mercury that is assumed to enter the bay is based on a Barr Engineering Company study[1] conducted in Minnesota and Wisconsin that focused on the fate of mercury from household products, combined with a partitioning analysis. The authors estimated the amount of mercury which volatizes into the atmosphere, resulting from breakage, transfer and transit, as well as air emissions following disposal in landfills, combustion, and incineration is thirty-seven percent of the mercury contained in material being recycled.  We assumed that recycling would eliminate this volatilization pathway.</t>
  </si>
  <si>
    <t xml:space="preserve">The report did not account for the percentage of this mercury that will partition into water and end up in water bodies.  The following partitioning analysis was used to estimate the amount of mercury from Bay Area thermostats that could potentially enter San Francisco Bay.  </t>
  </si>
  <si>
    <r>
      <t xml:space="preserve">1. Henry’s law: </t>
    </r>
    <r>
      <rPr>
        <sz val="12"/>
        <color indexed="8"/>
        <rFont val="Times New Roman"/>
        <family val="1"/>
      </rPr>
      <t xml:space="preserve"> Henry’s law (at 20º C) for elemental mercury is as follows:</t>
    </r>
  </si>
  <si>
    <r>
      <t xml:space="preserve">                                                              </t>
    </r>
    <r>
      <rPr>
        <sz val="12"/>
        <color indexed="8"/>
        <rFont val="Times New Roman"/>
        <family val="1"/>
      </rPr>
      <t>i.</t>
    </r>
    <r>
      <rPr>
        <sz val="7"/>
        <color indexed="8"/>
        <rFont val="Times New Roman"/>
        <family val="1"/>
      </rPr>
      <t xml:space="preserve">      </t>
    </r>
    <r>
      <rPr>
        <sz val="12"/>
        <color indexed="8"/>
        <rFont val="Times New Roman"/>
        <family val="1"/>
      </rPr>
      <t>K</t>
    </r>
    <r>
      <rPr>
        <vertAlign val="subscript"/>
        <sz val="12"/>
        <color indexed="8"/>
        <rFont val="Times New Roman"/>
        <family val="1"/>
      </rPr>
      <t>HCC</t>
    </r>
    <r>
      <rPr>
        <sz val="12"/>
        <color indexed="8"/>
        <rFont val="Times New Roman"/>
        <family val="1"/>
      </rPr>
      <t xml:space="preserve"> = 0.305 [mol mercury/L air]/ [mol mercury/L water]</t>
    </r>
  </si>
  <si>
    <t>b. While the mechanics are complex, this can roughly be interpreted as 30.5% of the mass of mercury in the air will be fated to water particles in the air or directly to surface water bodies that volatilized mercury comes in contact with.</t>
  </si>
  <si>
    <r>
      <t xml:space="preserve">1. Rain-out:  </t>
    </r>
    <r>
      <rPr>
        <sz val="12"/>
        <color indexed="8"/>
        <rFont val="Times New Roman"/>
        <family val="1"/>
      </rPr>
      <t xml:space="preserve">As these water particles are rained-out or washed-out of air, mercury containing water will fall on land and water. </t>
    </r>
  </si>
  <si>
    <r>
      <t>2. Partitioning Coefficient K</t>
    </r>
    <r>
      <rPr>
        <u val="single"/>
        <vertAlign val="subscript"/>
        <sz val="12"/>
        <color indexed="8"/>
        <rFont val="Times New Roman"/>
        <family val="1"/>
      </rPr>
      <t>d</t>
    </r>
    <r>
      <rPr>
        <u val="single"/>
        <sz val="12"/>
        <color indexed="8"/>
        <rFont val="Times New Roman"/>
        <family val="1"/>
      </rPr>
      <t xml:space="preserve">: </t>
    </r>
    <r>
      <rPr>
        <sz val="12"/>
        <color indexed="8"/>
        <rFont val="Times New Roman"/>
        <family val="1"/>
      </rPr>
      <t xml:space="preserve"> The K</t>
    </r>
    <r>
      <rPr>
        <vertAlign val="subscript"/>
        <sz val="12"/>
        <color indexed="8"/>
        <rFont val="Times New Roman"/>
        <family val="1"/>
      </rPr>
      <t xml:space="preserve">d </t>
    </r>
    <r>
      <rPr>
        <sz val="12"/>
        <color indexed="8"/>
        <rFont val="Times New Roman"/>
        <family val="1"/>
      </rPr>
      <t xml:space="preserve"> is a determination of how much mercury will partition from water to soil when coming in contact with soil. The K</t>
    </r>
    <r>
      <rPr>
        <vertAlign val="subscript"/>
        <sz val="12"/>
        <color indexed="8"/>
        <rFont val="Times New Roman"/>
        <family val="1"/>
      </rPr>
      <t>d</t>
    </r>
    <r>
      <rPr>
        <sz val="12"/>
        <color indexed="8"/>
        <rFont val="Times New Roman"/>
        <family val="1"/>
      </rPr>
      <t xml:space="preserve"> for mercury is approximately 1000, meaning that for every 1000 mg of mercury in a kg of water, 1 mg of mercury will partition to 1 liter of water.  In essence, we can assume that all mercury which comes in contact with soil will partition to soil.  This also contributes to dry deposition pathways. </t>
    </r>
  </si>
  <si>
    <r>
      <t>3. Impervious areas:</t>
    </r>
    <r>
      <rPr>
        <sz val="12"/>
        <color indexed="8"/>
        <rFont val="Times New Roman"/>
        <family val="1"/>
      </rPr>
      <t xml:space="preserve">  While mercury in water that falls on impervious areas may partition onto soil or pavement particles, it is assumed that most mercury (~60-70%) on impervious surfaces will eventually be mobilized by rainfall and be conveyed by storm drains to the Bay. Based on current land use information, the local Bay watershed is ~60-70% imperviousness overall.    </t>
    </r>
  </si>
  <si>
    <t>Based on the above analysis, the following equation allows one to determine the amount of mercury from thermostats fated to the Bay:</t>
  </si>
  <si>
    <t>Percentage to the Bay= (37%)*(.305)*[(.65)*(.65)] = 4.8%</t>
  </si>
  <si>
    <t xml:space="preserve">Based on this partitioning analysis, approximately 4.8% of the mercury used in fluorescent bulbs may potentially enter San Francisco Bay via stormwater runoff.  </t>
  </si>
  <si>
    <t>[1] Barr Engineering Company, 2001. Substance Flow Analysis of Mercury in Products, Prepared for Minnesota Pollution Control Agency, August 15.</t>
  </si>
  <si>
    <t>Incremental Increase per year from 2010 to 2030</t>
  </si>
  <si>
    <t>2010 Estimated Load Reduction</t>
  </si>
  <si>
    <t>2030 Estimated Load Reduction</t>
  </si>
  <si>
    <t>Scenario 1: Fluorescent Bulb Recycling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</si>
</sst>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
    <numFmt numFmtId="165" formatCode="0.0%"/>
  </numFmts>
  <fonts count="59">
    <font>
      <sz val="11"/>
      <color theme="1"/>
      <name val="Calibri"/>
      <family val="2"/>
    </font>
    <font>
      <sz val="11"/>
      <color indexed="8"/>
      <name val="Calibri"/>
      <family val="2"/>
    </font>
    <font>
      <b/>
      <sz val="11"/>
      <color indexed="8"/>
      <name val="Calibri"/>
      <family val="2"/>
    </font>
    <font>
      <sz val="10"/>
      <name val="Arial"/>
      <family val="2"/>
    </font>
    <font>
      <sz val="9"/>
      <color indexed="8"/>
      <name val="Arial"/>
      <family val="2"/>
    </font>
    <font>
      <sz val="8"/>
      <name val="Tahoma"/>
      <family val="2"/>
    </font>
    <font>
      <b/>
      <sz val="8"/>
      <name val="Tahoma"/>
      <family val="2"/>
    </font>
    <font>
      <b/>
      <sz val="9.9"/>
      <color indexed="8"/>
      <name val="Calibri"/>
      <family val="2"/>
    </font>
    <font>
      <sz val="11"/>
      <name val="Calibri"/>
      <family val="2"/>
    </font>
    <font>
      <b/>
      <sz val="6.4"/>
      <color indexed="8"/>
      <name val="Calibri"/>
      <family val="2"/>
    </font>
    <font>
      <sz val="9.9"/>
      <color indexed="8"/>
      <name val="Calibri"/>
      <family val="2"/>
    </font>
    <font>
      <b/>
      <sz val="10.1"/>
      <color indexed="63"/>
      <name val="Calibri"/>
      <family val="2"/>
    </font>
    <font>
      <b/>
      <sz val="11"/>
      <name val="Calibri"/>
      <family val="2"/>
    </font>
    <font>
      <sz val="12"/>
      <color indexed="8"/>
      <name val="Times New Roman"/>
      <family val="1"/>
    </font>
    <font>
      <u val="single"/>
      <sz val="12"/>
      <color indexed="8"/>
      <name val="Times New Roman"/>
      <family val="1"/>
    </font>
    <font>
      <sz val="7"/>
      <color indexed="8"/>
      <name val="Times New Roman"/>
      <family val="1"/>
    </font>
    <font>
      <vertAlign val="subscript"/>
      <sz val="12"/>
      <color indexed="8"/>
      <name val="Times New Roman"/>
      <family val="1"/>
    </font>
    <font>
      <u val="single"/>
      <vertAlign val="subscript"/>
      <sz val="12"/>
      <color indexed="8"/>
      <name val="Times New Roman"/>
      <family val="1"/>
    </font>
    <font>
      <u val="single"/>
      <sz val="11"/>
      <color indexed="12"/>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u val="single"/>
      <sz val="12"/>
      <color theme="1"/>
      <name val="Times New Roman"/>
      <family val="1"/>
    </font>
    <font>
      <sz val="7"/>
      <color theme="1"/>
      <name val="Times New Roman"/>
      <family val="1"/>
    </font>
    <font>
      <b/>
      <sz val="1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4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000000"/>
      </right>
      <top style="medium">
        <color rgb="FF000000"/>
      </top>
      <bottom style="medium">
        <color rgb="FF000000"/>
      </bottom>
    </border>
    <border>
      <left/>
      <right style="medium">
        <color rgb="FF000000"/>
      </right>
      <top/>
      <bottom style="medium">
        <color rgb="FF000000"/>
      </bottom>
    </border>
    <border>
      <left/>
      <right/>
      <top style="thin"/>
      <bottom/>
    </border>
    <border>
      <left/>
      <right style="thin"/>
      <top style="thin"/>
      <bottom/>
    </border>
    <border>
      <left/>
      <right style="thin"/>
      <top/>
      <bottom/>
    </border>
    <border>
      <left style="thin"/>
      <right/>
      <top/>
      <bottom/>
    </border>
    <border>
      <left/>
      <right/>
      <top/>
      <bottom style="thin"/>
    </border>
    <border>
      <left/>
      <right style="thin"/>
      <top/>
      <bottom style="thin"/>
    </border>
    <border>
      <left/>
      <right style="medium">
        <color indexed="51"/>
      </right>
      <top style="medium">
        <color indexed="51"/>
      </top>
      <bottom style="medium">
        <color indexed="51"/>
      </bottom>
    </border>
    <border>
      <left/>
      <right style="medium">
        <color indexed="51"/>
      </right>
      <top style="medium">
        <color indexed="51"/>
      </top>
      <bottom style="thin"/>
    </border>
    <border>
      <left style="thin"/>
      <right style="thin">
        <color theme="0" tint="-0.3499799966812134"/>
      </right>
      <top style="thin"/>
      <bottom style="thin">
        <color theme="0" tint="-0.3499799966812134"/>
      </bottom>
    </border>
    <border>
      <left style="thin">
        <color theme="0" tint="-0.3499799966812134"/>
      </left>
      <right style="thin"/>
      <top style="thin"/>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border>
    <border>
      <left style="thin">
        <color theme="0" tint="-0.3499799966812134"/>
      </left>
      <right style="thin"/>
      <top style="thin">
        <color theme="0" tint="-0.3499799966812134"/>
      </top>
      <bottom style="thin"/>
    </border>
    <border>
      <left style="thin"/>
      <right style="thin">
        <color theme="0" tint="-0.3499799966812134"/>
      </right>
      <top/>
      <bottom style="thin">
        <color theme="0" tint="-0.3499799966812134"/>
      </bottom>
    </border>
    <border>
      <left style="thin">
        <color theme="0" tint="-0.3499799966812134"/>
      </left>
      <right style="thin"/>
      <top/>
      <bottom style="thin">
        <color theme="0" tint="-0.3499799966812134"/>
      </bottom>
    </border>
    <border>
      <left/>
      <right style="medium">
        <color indexed="51"/>
      </right>
      <top/>
      <bottom style="medium">
        <color indexed="51"/>
      </bottom>
    </border>
    <border>
      <left/>
      <right/>
      <top style="thin"/>
      <bottom style="thin"/>
    </border>
    <border>
      <left style="thin"/>
      <right style="thin">
        <color theme="0" tint="-0.3499799966812134"/>
      </right>
      <top style="thin">
        <color theme="0" tint="-0.3499799966812134"/>
      </top>
      <bottom/>
    </border>
    <border>
      <left style="thin">
        <color theme="0" tint="-0.3499799966812134"/>
      </left>
      <right style="thin"/>
      <top style="thin">
        <color theme="0" tint="-0.3499799966812134"/>
      </top>
      <bottom/>
    </border>
    <border>
      <left style="thin"/>
      <right/>
      <top style="thin"/>
      <bottom style="thin"/>
    </border>
    <border>
      <left style="thin"/>
      <right style="thin"/>
      <top/>
      <bottom style="thin"/>
    </border>
    <border>
      <left style="medium">
        <color indexed="51"/>
      </left>
      <right/>
      <top style="medium">
        <color indexed="51"/>
      </top>
      <bottom style="thin"/>
    </border>
    <border>
      <left style="medium">
        <color indexed="51"/>
      </left>
      <right/>
      <top/>
      <bottom style="medium">
        <color indexed="51"/>
      </bottom>
    </border>
    <border>
      <left style="thin"/>
      <right/>
      <top style="medium">
        <color indexed="51"/>
      </top>
      <bottom/>
    </border>
    <border>
      <left style="thin"/>
      <right/>
      <top/>
      <bottom style="thin"/>
    </border>
    <border>
      <left style="medium">
        <color indexed="51"/>
      </left>
      <right/>
      <top style="medium">
        <color indexed="51"/>
      </top>
      <bottom style="medium">
        <color indexed="51"/>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border>
    <border>
      <left style="thin"/>
      <right/>
      <top style="thin"/>
      <bottom style="thin">
        <color theme="0" tint="-0.3499799966812134"/>
      </bottom>
    </border>
    <border>
      <left/>
      <right/>
      <top style="thin"/>
      <bottom style="thin">
        <color theme="0" tint="-0.3499799966812134"/>
      </bottom>
    </border>
    <border>
      <left/>
      <right style="thin"/>
      <top style="thin"/>
      <bottom style="thin">
        <color theme="0" tint="-0.3499799966812134"/>
      </bottom>
    </border>
    <border>
      <left style="thin"/>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style="thin"/>
      <right/>
      <top style="thin">
        <color theme="0" tint="-0.3499799966812134"/>
      </top>
      <bottom style="thin"/>
    </border>
    <border>
      <left/>
      <right style="thin">
        <color theme="0" tint="-0.3499799966812134"/>
      </right>
      <top style="thin">
        <color theme="0" tint="-0.3499799966812134"/>
      </top>
      <bottom style="thin"/>
    </border>
    <border>
      <left/>
      <right style="thin">
        <color theme="0" tint="-0.3499799966812134"/>
      </right>
      <top style="thin">
        <color theme="0" tint="-0.3499799966812134"/>
      </top>
      <bottom style="thin">
        <color theme="0" tint="-0.3499799966812134"/>
      </bottom>
    </border>
    <border>
      <left style="thin"/>
      <right style="thin"/>
      <top style="thin"/>
      <bottom style="medium">
        <color indexed="51"/>
      </bottom>
    </border>
    <border>
      <left/>
      <right/>
      <top style="thin"/>
      <bottom style="medium">
        <color indexed="51"/>
      </bottom>
    </border>
    <border>
      <left style="thin"/>
      <right style="thin"/>
      <top style="medium">
        <color indexed="51"/>
      </top>
      <bottom style="thin"/>
    </border>
    <border>
      <left style="thin"/>
      <right style="thin">
        <color theme="0" tint="-0.3499799966812134"/>
      </right>
      <top/>
      <bottom style="thin"/>
    </border>
    <border>
      <left/>
      <right/>
      <top style="medium">
        <color indexed="51"/>
      </top>
      <bottom style="medium">
        <color indexed="51"/>
      </bottom>
    </border>
    <border>
      <left style="thin"/>
      <right style="thin"/>
      <top style="thin"/>
      <bottom/>
    </border>
    <border>
      <left style="thin"/>
      <right style="thin"/>
      <top/>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1">
    <xf numFmtId="0" fontId="0" fillId="0" borderId="0" xfId="0" applyFont="1" applyAlignment="1">
      <alignment/>
    </xf>
    <xf numFmtId="0" fontId="0" fillId="0" borderId="10" xfId="0" applyBorder="1" applyAlignment="1">
      <alignment vertical="top" wrapText="1"/>
    </xf>
    <xf numFmtId="0" fontId="0" fillId="0" borderId="11" xfId="0" applyBorder="1" applyAlignment="1">
      <alignment vertical="top" wrapText="1"/>
    </xf>
    <xf numFmtId="3" fontId="0" fillId="0" borderId="0" xfId="0" applyNumberFormat="1" applyAlignment="1">
      <alignment/>
    </xf>
    <xf numFmtId="0" fontId="3" fillId="0" borderId="0" xfId="56">
      <alignment/>
      <protection/>
    </xf>
    <xf numFmtId="0" fontId="4" fillId="0" borderId="0" xfId="0" applyFont="1" applyFill="1" applyBorder="1" applyAlignment="1">
      <alignment/>
    </xf>
    <xf numFmtId="3" fontId="4" fillId="0" borderId="0" xfId="0" applyNumberFormat="1" applyFont="1" applyFill="1" applyBorder="1" applyAlignment="1">
      <alignment/>
    </xf>
    <xf numFmtId="2" fontId="4" fillId="0" borderId="0" xfId="0" applyNumberFormat="1" applyFont="1" applyAlignment="1">
      <alignment/>
    </xf>
    <xf numFmtId="2" fontId="0" fillId="0" borderId="0" xfId="0" applyNumberFormat="1" applyAlignment="1">
      <alignment/>
    </xf>
    <xf numFmtId="0" fontId="0" fillId="0" borderId="0" xfId="0" applyFill="1" applyAlignment="1">
      <alignment/>
    </xf>
    <xf numFmtId="0" fontId="8" fillId="0" borderId="0" xfId="0" applyNumberFormat="1" applyFont="1" applyFill="1" applyBorder="1" applyAlignment="1" applyProtection="1">
      <alignment/>
      <protection/>
    </xf>
    <xf numFmtId="0" fontId="52" fillId="0" borderId="0" xfId="0" applyFont="1" applyAlignment="1">
      <alignment/>
    </xf>
    <xf numFmtId="0" fontId="8" fillId="0" borderId="0" xfId="0" applyFont="1" applyFill="1" applyAlignment="1">
      <alignment/>
    </xf>
    <xf numFmtId="0" fontId="0" fillId="0" borderId="0" xfId="0" applyNumberFormat="1" applyAlignment="1">
      <alignment/>
    </xf>
    <xf numFmtId="0" fontId="0" fillId="0" borderId="0" xfId="0" applyFont="1" applyAlignment="1">
      <alignment/>
    </xf>
    <xf numFmtId="2" fontId="0" fillId="0" borderId="0" xfId="0" applyNumberFormat="1" applyFont="1" applyAlignment="1">
      <alignment/>
    </xf>
    <xf numFmtId="0" fontId="0" fillId="0" borderId="0" xfId="0" applyFont="1" applyFill="1" applyAlignment="1">
      <alignment/>
    </xf>
    <xf numFmtId="2" fontId="8" fillId="0" borderId="12" xfId="57" applyNumberFormat="1" applyFont="1" applyBorder="1" applyAlignment="1">
      <alignment horizontal="center"/>
      <protection/>
    </xf>
    <xf numFmtId="0" fontId="8" fillId="0" borderId="12" xfId="57" applyFont="1" applyFill="1" applyBorder="1" applyAlignment="1">
      <alignment horizontal="center"/>
      <protection/>
    </xf>
    <xf numFmtId="0" fontId="8" fillId="0" borderId="12" xfId="57" applyFont="1" applyBorder="1">
      <alignment/>
      <protection/>
    </xf>
    <xf numFmtId="0" fontId="8" fillId="0" borderId="13" xfId="57" applyFont="1" applyBorder="1">
      <alignment/>
      <protection/>
    </xf>
    <xf numFmtId="0" fontId="8" fillId="0" borderId="14" xfId="57" applyFont="1" applyFill="1" applyBorder="1">
      <alignment/>
      <protection/>
    </xf>
    <xf numFmtId="0" fontId="8" fillId="0" borderId="15" xfId="57" applyFont="1" applyBorder="1">
      <alignment/>
      <protection/>
    </xf>
    <xf numFmtId="0" fontId="8" fillId="0" borderId="0" xfId="57" applyFont="1" applyBorder="1" applyAlignment="1">
      <alignment horizontal="center"/>
      <protection/>
    </xf>
    <xf numFmtId="0" fontId="8" fillId="0" borderId="0" xfId="57" applyFont="1" applyBorder="1">
      <alignment/>
      <protection/>
    </xf>
    <xf numFmtId="0" fontId="8" fillId="0" borderId="14" xfId="57" applyFont="1" applyBorder="1">
      <alignment/>
      <protection/>
    </xf>
    <xf numFmtId="2" fontId="8" fillId="0" borderId="16" xfId="57" applyNumberFormat="1" applyFont="1" applyBorder="1" applyAlignment="1">
      <alignment horizontal="center"/>
      <protection/>
    </xf>
    <xf numFmtId="2" fontId="8" fillId="0" borderId="0" xfId="57" applyNumberFormat="1" applyFont="1" applyBorder="1" applyAlignment="1">
      <alignment horizontal="center"/>
      <protection/>
    </xf>
    <xf numFmtId="0" fontId="8" fillId="0" borderId="15" xfId="57" applyFont="1" applyBorder="1" applyAlignment="1">
      <alignment wrapText="1"/>
      <protection/>
    </xf>
    <xf numFmtId="0" fontId="8" fillId="0" borderId="16" xfId="57" applyFont="1" applyBorder="1">
      <alignment/>
      <protection/>
    </xf>
    <xf numFmtId="0" fontId="8" fillId="0" borderId="17" xfId="57" applyFont="1" applyBorder="1">
      <alignment/>
      <protection/>
    </xf>
    <xf numFmtId="164" fontId="8" fillId="0" borderId="0" xfId="57" applyNumberFormat="1" applyFont="1" applyBorder="1" applyAlignment="1">
      <alignment horizontal="center"/>
      <protection/>
    </xf>
    <xf numFmtId="164" fontId="8" fillId="33" borderId="18" xfId="57" applyNumberFormat="1" applyFont="1" applyFill="1" applyBorder="1" applyAlignment="1">
      <alignment horizontal="center"/>
      <protection/>
    </xf>
    <xf numFmtId="2" fontId="8" fillId="34" borderId="18" xfId="57" applyNumberFormat="1" applyFont="1" applyFill="1" applyBorder="1" applyAlignment="1">
      <alignment horizontal="center"/>
      <protection/>
    </xf>
    <xf numFmtId="2" fontId="8" fillId="34" borderId="19" xfId="57" applyNumberFormat="1" applyFont="1" applyFill="1" applyBorder="1" applyAlignment="1">
      <alignment horizontal="center"/>
      <protection/>
    </xf>
    <xf numFmtId="0" fontId="8" fillId="0" borderId="14" xfId="57" applyFont="1" applyBorder="1" applyAlignment="1">
      <alignment horizontal="center"/>
      <protection/>
    </xf>
    <xf numFmtId="0" fontId="8" fillId="0" borderId="20" xfId="57" applyFont="1" applyFill="1" applyBorder="1">
      <alignment/>
      <protection/>
    </xf>
    <xf numFmtId="0" fontId="8" fillId="0" borderId="21" xfId="57" applyFont="1" applyFill="1" applyBorder="1" applyAlignment="1">
      <alignment horizontal="center"/>
      <protection/>
    </xf>
    <xf numFmtId="0" fontId="8" fillId="0" borderId="22" xfId="57" applyFont="1" applyBorder="1">
      <alignment/>
      <protection/>
    </xf>
    <xf numFmtId="0" fontId="8" fillId="0" borderId="23" xfId="57" applyFont="1" applyBorder="1" applyAlignment="1">
      <alignment horizontal="center"/>
      <protection/>
    </xf>
    <xf numFmtId="0" fontId="8" fillId="0" borderId="24" xfId="57" applyFont="1" applyBorder="1">
      <alignment/>
      <protection/>
    </xf>
    <xf numFmtId="0" fontId="8" fillId="0" borderId="25" xfId="57" applyFont="1" applyBorder="1" applyAlignment="1">
      <alignment horizontal="center"/>
      <protection/>
    </xf>
    <xf numFmtId="0" fontId="8" fillId="0" borderId="20" xfId="57" applyFont="1" applyBorder="1">
      <alignment/>
      <protection/>
    </xf>
    <xf numFmtId="0" fontId="8" fillId="0" borderId="21" xfId="57" applyFont="1" applyBorder="1" applyAlignment="1">
      <alignment horizontal="center"/>
      <protection/>
    </xf>
    <xf numFmtId="0" fontId="8" fillId="0" borderId="22" xfId="57" applyFont="1" applyBorder="1" applyAlignment="1">
      <alignment wrapText="1"/>
      <protection/>
    </xf>
    <xf numFmtId="0" fontId="8" fillId="0" borderId="23" xfId="57" applyFont="1" applyBorder="1" applyAlignment="1">
      <alignment horizontal="center" vertical="center"/>
      <protection/>
    </xf>
    <xf numFmtId="0" fontId="8" fillId="0" borderId="26" xfId="57" applyFont="1" applyBorder="1">
      <alignment/>
      <protection/>
    </xf>
    <xf numFmtId="0" fontId="8" fillId="0" borderId="27" xfId="57" applyFont="1" applyBorder="1" applyAlignment="1">
      <alignment horizontal="center"/>
      <protection/>
    </xf>
    <xf numFmtId="2" fontId="8" fillId="34" borderId="28" xfId="57" applyNumberFormat="1" applyFont="1" applyFill="1" applyBorder="1" applyAlignment="1">
      <alignment horizontal="center"/>
      <protection/>
    </xf>
    <xf numFmtId="0" fontId="0" fillId="0" borderId="29" xfId="0" applyFont="1" applyBorder="1" applyAlignment="1">
      <alignment/>
    </xf>
    <xf numFmtId="0" fontId="8" fillId="0" borderId="29" xfId="57" applyFont="1" applyBorder="1">
      <alignment/>
      <protection/>
    </xf>
    <xf numFmtId="0" fontId="8" fillId="0" borderId="29" xfId="57" applyFont="1" applyBorder="1" applyAlignment="1">
      <alignment horizontal="center"/>
      <protection/>
    </xf>
    <xf numFmtId="2" fontId="8" fillId="0" borderId="29" xfId="57" applyNumberFormat="1" applyFont="1" applyBorder="1" applyAlignment="1">
      <alignment horizontal="center"/>
      <protection/>
    </xf>
    <xf numFmtId="0" fontId="8" fillId="0" borderId="30" xfId="57" applyFont="1" applyBorder="1">
      <alignment/>
      <protection/>
    </xf>
    <xf numFmtId="0" fontId="8" fillId="0" borderId="31" xfId="57" applyFont="1" applyBorder="1" applyAlignment="1">
      <alignment horizontal="center"/>
      <protection/>
    </xf>
    <xf numFmtId="0" fontId="8" fillId="0" borderId="26" xfId="57" applyFont="1" applyBorder="1" applyAlignment="1">
      <alignment wrapText="1"/>
      <protection/>
    </xf>
    <xf numFmtId="0" fontId="8" fillId="0" borderId="27" xfId="57" applyFont="1" applyBorder="1" applyAlignment="1">
      <alignment horizontal="center" vertical="center"/>
      <protection/>
    </xf>
    <xf numFmtId="0" fontId="8" fillId="0" borderId="32" xfId="57" applyFont="1" applyBorder="1">
      <alignment/>
      <protection/>
    </xf>
    <xf numFmtId="2" fontId="8" fillId="0" borderId="33" xfId="57" applyNumberFormat="1" applyFont="1" applyBorder="1" applyAlignment="1">
      <alignment horizontal="center"/>
      <protection/>
    </xf>
    <xf numFmtId="2" fontId="8" fillId="34" borderId="34" xfId="57" applyNumberFormat="1" applyFont="1" applyFill="1" applyBorder="1" applyAlignment="1">
      <alignment horizontal="center"/>
      <protection/>
    </xf>
    <xf numFmtId="2" fontId="8" fillId="34" borderId="35" xfId="57" applyNumberFormat="1" applyFont="1" applyFill="1" applyBorder="1" applyAlignment="1">
      <alignment horizontal="center"/>
      <protection/>
    </xf>
    <xf numFmtId="164" fontId="8" fillId="0" borderId="36" xfId="57" applyNumberFormat="1" applyFont="1" applyBorder="1" applyAlignment="1">
      <alignment horizontal="center"/>
      <protection/>
    </xf>
    <xf numFmtId="2" fontId="8" fillId="0" borderId="37" xfId="57" applyNumberFormat="1" applyFont="1" applyBorder="1" applyAlignment="1">
      <alignment horizontal="center"/>
      <protection/>
    </xf>
    <xf numFmtId="164" fontId="8" fillId="33" borderId="38" xfId="57" applyNumberFormat="1" applyFont="1" applyFill="1" applyBorder="1" applyAlignment="1">
      <alignment horizontal="center"/>
      <protection/>
    </xf>
    <xf numFmtId="2" fontId="8" fillId="34" borderId="38" xfId="57" applyNumberFormat="1" applyFont="1" applyFill="1" applyBorder="1" applyAlignment="1">
      <alignment horizontal="center"/>
      <protection/>
    </xf>
    <xf numFmtId="0" fontId="8" fillId="0" borderId="39" xfId="57" applyFont="1" applyBorder="1">
      <alignment/>
      <protection/>
    </xf>
    <xf numFmtId="0" fontId="8" fillId="0" borderId="23" xfId="57" applyFont="1" applyBorder="1">
      <alignment/>
      <protection/>
    </xf>
    <xf numFmtId="0" fontId="8" fillId="0" borderId="40" xfId="57" applyFont="1" applyBorder="1">
      <alignment/>
      <protection/>
    </xf>
    <xf numFmtId="0" fontId="8" fillId="0" borderId="25" xfId="57" applyFont="1" applyBorder="1">
      <alignment/>
      <protection/>
    </xf>
    <xf numFmtId="0" fontId="8" fillId="0" borderId="41" xfId="57" applyFont="1" applyFill="1" applyBorder="1" applyAlignment="1">
      <alignment wrapText="1"/>
      <protection/>
    </xf>
    <xf numFmtId="0" fontId="8" fillId="0" borderId="42" xfId="57" applyFont="1" applyFill="1" applyBorder="1" applyAlignment="1">
      <alignment wrapText="1"/>
      <protection/>
    </xf>
    <xf numFmtId="0" fontId="8" fillId="0" borderId="43" xfId="57" applyFont="1" applyFill="1" applyBorder="1" applyAlignment="1">
      <alignment wrapText="1"/>
      <protection/>
    </xf>
    <xf numFmtId="0" fontId="8" fillId="0" borderId="44" xfId="57" applyFont="1" applyBorder="1" applyAlignment="1">
      <alignment wrapText="1"/>
      <protection/>
    </xf>
    <xf numFmtId="0" fontId="8" fillId="0" borderId="45" xfId="57" applyFont="1" applyBorder="1" applyAlignment="1">
      <alignment wrapText="1"/>
      <protection/>
    </xf>
    <xf numFmtId="0" fontId="8" fillId="0" borderId="46" xfId="57" applyFont="1" applyBorder="1" applyAlignment="1">
      <alignment wrapText="1"/>
      <protection/>
    </xf>
    <xf numFmtId="0" fontId="8" fillId="0" borderId="47" xfId="57" applyFont="1" applyFill="1" applyBorder="1">
      <alignment/>
      <protection/>
    </xf>
    <xf numFmtId="0" fontId="0" fillId="0" borderId="41" xfId="0" applyFont="1" applyBorder="1" applyAlignment="1">
      <alignment/>
    </xf>
    <xf numFmtId="0" fontId="8" fillId="0" borderId="44" xfId="57" applyFont="1" applyBorder="1">
      <alignment/>
      <protection/>
    </xf>
    <xf numFmtId="0" fontId="8" fillId="0" borderId="47" xfId="57" applyFont="1" applyBorder="1">
      <alignment/>
      <protection/>
    </xf>
    <xf numFmtId="0" fontId="8" fillId="0" borderId="48" xfId="57" applyFont="1" applyBorder="1">
      <alignment/>
      <protection/>
    </xf>
    <xf numFmtId="0" fontId="8" fillId="0" borderId="49" xfId="57" applyFont="1" applyBorder="1">
      <alignment/>
      <protection/>
    </xf>
    <xf numFmtId="0" fontId="0" fillId="0" borderId="15" xfId="0" applyFont="1" applyBorder="1" applyAlignment="1">
      <alignment/>
    </xf>
    <xf numFmtId="0" fontId="8" fillId="0" borderId="15" xfId="57" applyFont="1" applyFill="1" applyBorder="1" applyAlignment="1">
      <alignment wrapText="1"/>
      <protection/>
    </xf>
    <xf numFmtId="2" fontId="0" fillId="0" borderId="15" xfId="0" applyNumberFormat="1" applyFont="1" applyBorder="1" applyAlignment="1">
      <alignment/>
    </xf>
    <xf numFmtId="0" fontId="8" fillId="0" borderId="41" xfId="57" applyFont="1" applyBorder="1" applyAlignment="1">
      <alignment wrapText="1"/>
      <protection/>
    </xf>
    <xf numFmtId="0" fontId="8" fillId="0" borderId="43" xfId="57" applyFont="1" applyBorder="1" applyAlignment="1">
      <alignment wrapText="1"/>
      <protection/>
    </xf>
    <xf numFmtId="0" fontId="8" fillId="0" borderId="42" xfId="57" applyFont="1" applyBorder="1" applyAlignment="1">
      <alignment wrapText="1"/>
      <protection/>
    </xf>
    <xf numFmtId="164" fontId="8" fillId="0" borderId="50" xfId="57" applyNumberFormat="1" applyFont="1" applyBorder="1" applyAlignment="1">
      <alignment horizontal="center"/>
      <protection/>
    </xf>
    <xf numFmtId="164" fontId="8" fillId="0" borderId="51" xfId="57" applyNumberFormat="1" applyFont="1" applyBorder="1" applyAlignment="1">
      <alignment horizontal="center"/>
      <protection/>
    </xf>
    <xf numFmtId="164" fontId="8" fillId="0" borderId="14" xfId="57" applyNumberFormat="1" applyFont="1" applyBorder="1" applyAlignment="1">
      <alignment horizontal="center"/>
      <protection/>
    </xf>
    <xf numFmtId="2" fontId="8" fillId="0" borderId="52" xfId="57" applyNumberFormat="1" applyFont="1" applyBorder="1" applyAlignment="1">
      <alignment horizontal="center"/>
      <protection/>
    </xf>
    <xf numFmtId="0" fontId="0" fillId="0" borderId="0" xfId="0" applyFont="1" applyFill="1" applyBorder="1" applyAlignment="1">
      <alignment horizontal="center" vertical="center" textRotation="90"/>
    </xf>
    <xf numFmtId="0" fontId="12" fillId="0" borderId="53" xfId="57" applyFont="1" applyBorder="1">
      <alignment/>
      <protection/>
    </xf>
    <xf numFmtId="0" fontId="54" fillId="0" borderId="0" xfId="0" applyFont="1" applyAlignment="1">
      <alignment/>
    </xf>
    <xf numFmtId="0" fontId="46" fillId="0" borderId="0" xfId="52" applyAlignment="1" applyProtection="1">
      <alignment/>
      <protection/>
    </xf>
    <xf numFmtId="0" fontId="55" fillId="0" borderId="0" xfId="0" applyFont="1" applyAlignment="1">
      <alignment horizontal="left" indent="1"/>
    </xf>
    <xf numFmtId="0" fontId="56" fillId="0" borderId="0" xfId="0" applyFont="1" applyAlignment="1">
      <alignment horizontal="left" indent="15"/>
    </xf>
    <xf numFmtId="0" fontId="54" fillId="0" borderId="0" xfId="0" applyFont="1" applyAlignment="1">
      <alignment horizontal="left" indent="2"/>
    </xf>
    <xf numFmtId="165" fontId="8" fillId="34" borderId="28" xfId="57" applyNumberFormat="1" applyFont="1" applyFill="1" applyBorder="1" applyAlignment="1">
      <alignment horizontal="center" vertical="center"/>
      <protection/>
    </xf>
    <xf numFmtId="165" fontId="8" fillId="34" borderId="54" xfId="57" applyNumberFormat="1" applyFont="1" applyFill="1" applyBorder="1" applyAlignment="1">
      <alignment horizontal="center" vertical="center"/>
      <protection/>
    </xf>
    <xf numFmtId="165" fontId="8" fillId="34" borderId="38" xfId="57" applyNumberFormat="1" applyFont="1" applyFill="1" applyBorder="1" applyAlignment="1">
      <alignment horizontal="center" vertical="center"/>
      <protection/>
    </xf>
    <xf numFmtId="0" fontId="57" fillId="0" borderId="0" xfId="0" applyFont="1" applyAlignment="1">
      <alignment/>
    </xf>
    <xf numFmtId="0" fontId="0" fillId="0" borderId="55" xfId="0" applyFont="1" applyFill="1" applyBorder="1" applyAlignment="1">
      <alignment horizontal="center" vertical="center" textRotation="90" wrapText="1"/>
    </xf>
    <xf numFmtId="0" fontId="0" fillId="0" borderId="56" xfId="0" applyFont="1" applyFill="1" applyBorder="1" applyAlignment="1">
      <alignment horizontal="center" vertical="center" textRotation="90" wrapText="1"/>
    </xf>
    <xf numFmtId="0" fontId="0" fillId="0" borderId="33" xfId="0" applyFont="1" applyFill="1" applyBorder="1" applyAlignment="1">
      <alignment horizontal="center" vertical="center" textRotation="90" wrapText="1"/>
    </xf>
    <xf numFmtId="0" fontId="0" fillId="0" borderId="56" xfId="0" applyFont="1" applyFill="1" applyBorder="1" applyAlignment="1">
      <alignment horizontal="center" vertical="center" textRotation="90"/>
    </xf>
    <xf numFmtId="0" fontId="0" fillId="0" borderId="33" xfId="0" applyFont="1" applyFill="1" applyBorder="1" applyAlignment="1">
      <alignment horizontal="center" vertical="center" textRotation="90"/>
    </xf>
    <xf numFmtId="0" fontId="0" fillId="0" borderId="55" xfId="0" applyFont="1" applyFill="1" applyBorder="1" applyAlignment="1">
      <alignment horizontal="center" vertical="center" textRotation="90"/>
    </xf>
    <xf numFmtId="0" fontId="0" fillId="0" borderId="57" xfId="0" applyBorder="1" applyAlignment="1">
      <alignment vertical="top" wrapText="1"/>
    </xf>
    <xf numFmtId="0" fontId="0" fillId="0" borderId="58" xfId="0" applyBorder="1" applyAlignment="1">
      <alignment vertical="top" wrapText="1"/>
    </xf>
    <xf numFmtId="0" fontId="0" fillId="0" borderId="59" xfId="0"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Fluorescent Bulb Recycling Hg Load Reduction Based on Different Lamp Recycling Estimations [kg/yr]</a:t>
            </a:r>
          </a:p>
        </c:rich>
      </c:tx>
      <c:layout>
        <c:manualLayout>
          <c:xMode val="factor"/>
          <c:yMode val="factor"/>
          <c:x val="0"/>
          <c:y val="-0.0075"/>
        </c:manualLayout>
      </c:layout>
      <c:spPr>
        <a:noFill/>
        <a:ln w="3175">
          <a:noFill/>
        </a:ln>
      </c:spPr>
    </c:title>
    <c:plotArea>
      <c:layout>
        <c:manualLayout>
          <c:xMode val="edge"/>
          <c:yMode val="edge"/>
          <c:x val="0.01625"/>
          <c:y val="0.112"/>
          <c:w val="0.745"/>
          <c:h val="0.867"/>
        </c:manualLayout>
      </c:layout>
      <c:barChart>
        <c:barDir val="col"/>
        <c:grouping val="clustered"/>
        <c:varyColors val="0"/>
        <c:ser>
          <c:idx val="0"/>
          <c:order val="0"/>
          <c:tx>
            <c:strRef>
              <c:f>'Bulb Sheet'!$D$24</c:f>
              <c:strCache>
                <c:ptCount val="1"/>
                <c:pt idx="0">
                  <c:v>2010 Estimated Load Reduction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'Bulb Sheet'!$B$25:$B$26</c:f>
              <c:strCache>
                <c:ptCount val="2"/>
                <c:pt idx="0">
                  <c:v>AB1109 Bill (Source 1)</c:v>
                </c:pt>
                <c:pt idx="1">
                  <c:v>ALMR (Source 2)</c:v>
                </c:pt>
              </c:strCache>
            </c:strRef>
          </c:cat>
          <c:val>
            <c:numRef>
              <c:f>'Bulb Sheet'!$D$25:$D$26</c:f>
              <c:numCache>
                <c:ptCount val="2"/>
                <c:pt idx="0">
                  <c:v>0.2993954467908969</c:v>
                </c:pt>
                <c:pt idx="1">
                  <c:v>2.3951635743271753</c:v>
                </c:pt>
              </c:numCache>
            </c:numRef>
          </c:val>
        </c:ser>
        <c:ser>
          <c:idx val="1"/>
          <c:order val="1"/>
          <c:tx>
            <c:strRef>
              <c:f>'Bulb Sheet'!$E$24</c:f>
              <c:strCache>
                <c:ptCount val="1"/>
                <c:pt idx="0">
                  <c:v>2030 Estimated Load Reduction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'Bulb Sheet'!$B$25:$B$26</c:f>
              <c:strCache>
                <c:ptCount val="2"/>
                <c:pt idx="0">
                  <c:v>AB1109 Bill (Source 1)</c:v>
                </c:pt>
                <c:pt idx="1">
                  <c:v>ALMR (Source 2)</c:v>
                </c:pt>
              </c:strCache>
            </c:strRef>
          </c:cat>
          <c:val>
            <c:numRef>
              <c:f>'Bulb Sheet'!$E$25:$E$26</c:f>
              <c:numCache>
                <c:ptCount val="2"/>
                <c:pt idx="0">
                  <c:v>4.156823417841095</c:v>
                </c:pt>
                <c:pt idx="1">
                  <c:v>13.301834937091504</c:v>
                </c:pt>
              </c:numCache>
            </c:numRef>
          </c:val>
        </c:ser>
        <c:axId val="53860049"/>
        <c:axId val="14978394"/>
      </c:barChart>
      <c:catAx>
        <c:axId val="53860049"/>
        <c:scaling>
          <c:orientation val="minMax"/>
        </c:scaling>
        <c:axPos val="b"/>
        <c:delete val="0"/>
        <c:numFmt formatCode="General" sourceLinked="1"/>
        <c:majorTickMark val="none"/>
        <c:minorTickMark val="none"/>
        <c:tickLblPos val="nextTo"/>
        <c:spPr>
          <a:ln w="3175">
            <a:solidFill>
              <a:srgbClr val="808080"/>
            </a:solidFill>
          </a:ln>
        </c:spPr>
        <c:crossAx val="14978394"/>
        <c:crosses val="autoZero"/>
        <c:auto val="1"/>
        <c:lblOffset val="100"/>
        <c:tickLblSkip val="1"/>
        <c:noMultiLvlLbl val="0"/>
      </c:catAx>
      <c:valAx>
        <c:axId val="14978394"/>
        <c:scaling>
          <c:orientation val="minMax"/>
          <c:max val="15"/>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3860049"/>
        <c:crossesAt val="1"/>
        <c:crossBetween val="between"/>
        <c:dispUnits/>
        <c:majorUnit val="1"/>
      </c:valAx>
      <c:spPr>
        <a:solidFill>
          <a:srgbClr val="FFFFFF"/>
        </a:solidFill>
        <a:ln w="3175">
          <a:noFill/>
        </a:ln>
      </c:spPr>
    </c:plotArea>
    <c:legend>
      <c:legendPos val="r"/>
      <c:layout>
        <c:manualLayout>
          <c:xMode val="edge"/>
          <c:yMode val="edge"/>
          <c:x val="0.778"/>
          <c:y val="0.51725"/>
          <c:w val="0.21525"/>
          <c:h val="0.07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24900" cy="6381750"/>
    <xdr:graphicFrame>
      <xdr:nvGraphicFramePr>
        <xdr:cNvPr id="1" name="Shape 1025"/>
        <xdr:cNvGraphicFramePr/>
      </xdr:nvGraphicFramePr>
      <xdr:xfrm>
        <a:off x="832284975" y="0"/>
        <a:ext cx="8724900"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6"/>
  <sheetViews>
    <sheetView tabSelected="1" zoomScale="80" zoomScaleNormal="80" zoomScalePageLayoutView="0" workbookViewId="0" topLeftCell="A1">
      <selection activeCell="B37" sqref="B37"/>
    </sheetView>
  </sheetViews>
  <sheetFormatPr defaultColWidth="9.140625" defaultRowHeight="15"/>
  <cols>
    <col min="1" max="1" width="9.140625" style="14" customWidth="1"/>
    <col min="2" max="2" width="55.28125" style="14" customWidth="1"/>
    <col min="3" max="3" width="13.28125" style="14" customWidth="1"/>
    <col min="4" max="5" width="16.140625" style="15" customWidth="1"/>
    <col min="6" max="6" width="86.140625" style="15" customWidth="1"/>
    <col min="7" max="7" width="70.7109375" style="83" customWidth="1"/>
    <col min="8" max="12" width="9.140625" style="14" customWidth="1"/>
    <col min="13" max="13" width="18.140625" style="14" customWidth="1"/>
    <col min="14" max="16384" width="9.140625" style="14" customWidth="1"/>
  </cols>
  <sheetData>
    <row r="1" spans="1:7" ht="18.75">
      <c r="A1" s="101" t="s">
        <v>163</v>
      </c>
      <c r="F1" s="14"/>
      <c r="G1" s="81"/>
    </row>
    <row r="2" spans="6:7" ht="12" customHeight="1">
      <c r="F2" s="14"/>
      <c r="G2" s="81"/>
    </row>
    <row r="3" spans="2:12" ht="14.25" customHeight="1" thickBot="1">
      <c r="B3" s="24"/>
      <c r="C3" s="35"/>
      <c r="D3" s="17" t="s">
        <v>102</v>
      </c>
      <c r="E3" s="17" t="s">
        <v>135</v>
      </c>
      <c r="F3" s="18" t="s">
        <v>34</v>
      </c>
      <c r="G3" s="22"/>
      <c r="H3" s="19"/>
      <c r="I3" s="19"/>
      <c r="J3" s="19"/>
      <c r="K3" s="19"/>
      <c r="L3" s="20"/>
    </row>
    <row r="4" spans="1:12" s="16" customFormat="1" ht="33.75" customHeight="1" thickBot="1">
      <c r="A4" s="102" t="s">
        <v>138</v>
      </c>
      <c r="B4" s="36" t="s">
        <v>121</v>
      </c>
      <c r="C4" s="37" t="s">
        <v>35</v>
      </c>
      <c r="D4" s="32">
        <f>'AB 1109 Report'!B4*'CA_Bay Area Population'!D14/100</f>
        <v>2912973.796369886</v>
      </c>
      <c r="E4" s="63">
        <f>ALMR!A7</f>
        <v>16177557.57089354</v>
      </c>
      <c r="F4" s="69" t="s">
        <v>127</v>
      </c>
      <c r="G4" s="82"/>
      <c r="H4" s="70"/>
      <c r="I4" s="70"/>
      <c r="J4" s="70"/>
      <c r="K4" s="71"/>
      <c r="L4" s="21"/>
    </row>
    <row r="5" spans="1:12" ht="28.5" customHeight="1" thickBot="1">
      <c r="A5" s="103"/>
      <c r="B5" s="38" t="s">
        <v>36</v>
      </c>
      <c r="C5" s="39" t="s">
        <v>37</v>
      </c>
      <c r="D5" s="33">
        <f>'NEWMOA Report'!E4</f>
        <v>21.4125</v>
      </c>
      <c r="E5" s="64">
        <f>'NEWMOA Report'!E4</f>
        <v>21.4125</v>
      </c>
      <c r="F5" s="72" t="s">
        <v>123</v>
      </c>
      <c r="G5" s="28"/>
      <c r="H5" s="73"/>
      <c r="I5" s="73"/>
      <c r="J5" s="73"/>
      <c r="K5" s="74"/>
      <c r="L5" s="25"/>
    </row>
    <row r="6" spans="1:12" ht="15">
      <c r="A6" s="104"/>
      <c r="B6" s="40" t="s">
        <v>38</v>
      </c>
      <c r="C6" s="41" t="s">
        <v>17</v>
      </c>
      <c r="D6" s="26">
        <f>D4*D5*(10^(-6))</f>
        <v>62.374051414770186</v>
      </c>
      <c r="E6" s="26">
        <f>E4*E5*(10^(-6))</f>
        <v>346.4019514867579</v>
      </c>
      <c r="F6" s="75"/>
      <c r="G6" s="22"/>
      <c r="H6" s="79"/>
      <c r="I6" s="67"/>
      <c r="J6" s="67"/>
      <c r="K6" s="68"/>
      <c r="L6" s="25"/>
    </row>
    <row r="7" spans="1:12" ht="15">
      <c r="A7" s="49"/>
      <c r="B7" s="50"/>
      <c r="C7" s="51"/>
      <c r="D7" s="52"/>
      <c r="E7" s="52"/>
      <c r="F7" s="19"/>
      <c r="G7" s="22"/>
      <c r="H7" s="19"/>
      <c r="I7" s="19"/>
      <c r="J7" s="19"/>
      <c r="K7" s="19"/>
      <c r="L7" s="20"/>
    </row>
    <row r="8" spans="1:12" ht="15.75" customHeight="1" thickBot="1">
      <c r="A8" s="105" t="s">
        <v>140</v>
      </c>
      <c r="B8" s="46" t="s">
        <v>14</v>
      </c>
      <c r="C8" s="47" t="s">
        <v>15</v>
      </c>
      <c r="D8" s="48">
        <v>10</v>
      </c>
      <c r="E8" s="60">
        <v>25</v>
      </c>
      <c r="F8" s="76" t="s">
        <v>139</v>
      </c>
      <c r="G8" s="81"/>
      <c r="J8" s="24"/>
      <c r="K8" s="24"/>
      <c r="L8" s="25"/>
    </row>
    <row r="9" spans="1:12" ht="15">
      <c r="A9" s="105"/>
      <c r="B9" s="38" t="s">
        <v>141</v>
      </c>
      <c r="C9" s="39" t="s">
        <v>35</v>
      </c>
      <c r="D9" s="31">
        <f>D4*D8/100</f>
        <v>291297.3796369886</v>
      </c>
      <c r="E9" s="61">
        <f>E4*E8/100</f>
        <v>4044389.3927233843</v>
      </c>
      <c r="F9" s="77"/>
      <c r="G9" s="22"/>
      <c r="H9" s="24"/>
      <c r="I9" s="24"/>
      <c r="J9" s="24"/>
      <c r="K9" s="24"/>
      <c r="L9" s="25"/>
    </row>
    <row r="10" spans="1:12" ht="15">
      <c r="A10" s="105"/>
      <c r="B10" s="53" t="s">
        <v>142</v>
      </c>
      <c r="C10" s="54" t="s">
        <v>17</v>
      </c>
      <c r="D10" s="27">
        <f>D6*D8/100</f>
        <v>6.237405141477019</v>
      </c>
      <c r="E10" s="62">
        <f>E6*E8/100</f>
        <v>86.60048787168948</v>
      </c>
      <c r="F10" s="78"/>
      <c r="G10" s="22"/>
      <c r="H10" s="24"/>
      <c r="I10" s="24"/>
      <c r="J10" s="24"/>
      <c r="K10" s="24"/>
      <c r="L10" s="25"/>
    </row>
    <row r="11" spans="1:12" ht="15">
      <c r="A11" s="105"/>
      <c r="B11" s="57"/>
      <c r="C11" s="51"/>
      <c r="D11" s="52"/>
      <c r="E11" s="52"/>
      <c r="F11" s="19"/>
      <c r="G11" s="22"/>
      <c r="H11" s="24"/>
      <c r="I11" s="24"/>
      <c r="J11" s="24"/>
      <c r="K11" s="24"/>
      <c r="L11" s="25"/>
    </row>
    <row r="12" spans="1:12" ht="48" customHeight="1" thickBot="1">
      <c r="A12" s="105"/>
      <c r="B12" s="55" t="s">
        <v>118</v>
      </c>
      <c r="C12" s="56" t="s">
        <v>15</v>
      </c>
      <c r="D12" s="98">
        <f>'Partitioning analysis'!H12</f>
        <v>0.048</v>
      </c>
      <c r="E12" s="98">
        <f>'Partitioning analysis'!H12</f>
        <v>0.048</v>
      </c>
      <c r="F12" s="84" t="s">
        <v>144</v>
      </c>
      <c r="G12" s="28"/>
      <c r="H12" s="24"/>
      <c r="I12" s="24"/>
      <c r="J12" s="24"/>
      <c r="K12" s="24"/>
      <c r="L12" s="25"/>
    </row>
    <row r="13" spans="1:12" ht="15">
      <c r="A13" s="106"/>
      <c r="B13" s="40" t="s">
        <v>18</v>
      </c>
      <c r="C13" s="41" t="s">
        <v>17</v>
      </c>
      <c r="D13" s="90">
        <f>D10*D12</f>
        <v>0.2993954467908969</v>
      </c>
      <c r="E13" s="90">
        <f>E10*E12</f>
        <v>4.156823417841095</v>
      </c>
      <c r="F13" s="78"/>
      <c r="G13" s="22"/>
      <c r="H13" s="29"/>
      <c r="I13" s="29"/>
      <c r="J13" s="29"/>
      <c r="K13" s="29"/>
      <c r="L13" s="20"/>
    </row>
    <row r="14" spans="1:12" ht="15">
      <c r="A14" s="91"/>
      <c r="B14" s="24"/>
      <c r="C14" s="23"/>
      <c r="D14" s="27"/>
      <c r="E14" s="27"/>
      <c r="F14" s="24"/>
      <c r="G14" s="22"/>
      <c r="H14" s="24"/>
      <c r="I14" s="24"/>
      <c r="J14" s="24"/>
      <c r="K14" s="24"/>
      <c r="L14" s="25"/>
    </row>
    <row r="15" spans="1:12" ht="15">
      <c r="A15" s="92" t="s">
        <v>119</v>
      </c>
      <c r="B15" s="29"/>
      <c r="C15" s="23"/>
      <c r="D15" s="27"/>
      <c r="E15" s="27"/>
      <c r="F15" s="24"/>
      <c r="G15" s="22"/>
      <c r="H15" s="24"/>
      <c r="I15" s="24"/>
      <c r="J15" s="24"/>
      <c r="K15" s="24"/>
      <c r="L15" s="25"/>
    </row>
    <row r="16" spans="1:12" ht="32.25" customHeight="1" thickBot="1">
      <c r="A16" s="107" t="s">
        <v>143</v>
      </c>
      <c r="B16" s="42" t="s">
        <v>124</v>
      </c>
      <c r="C16" s="43" t="s">
        <v>35</v>
      </c>
      <c r="D16" s="87">
        <f>D4</f>
        <v>2912973.796369886</v>
      </c>
      <c r="E16" s="88">
        <f>E4</f>
        <v>16177557.57089354</v>
      </c>
      <c r="F16" s="84" t="s">
        <v>128</v>
      </c>
      <c r="G16" s="28"/>
      <c r="H16" s="86"/>
      <c r="I16" s="86"/>
      <c r="J16" s="86"/>
      <c r="K16" s="85"/>
      <c r="L16" s="30"/>
    </row>
    <row r="17" spans="1:12" ht="15">
      <c r="A17" s="105"/>
      <c r="B17" s="38" t="s">
        <v>16</v>
      </c>
      <c r="C17" s="39" t="s">
        <v>15</v>
      </c>
      <c r="D17" s="34">
        <v>80</v>
      </c>
      <c r="E17" s="59">
        <v>80</v>
      </c>
      <c r="F17" s="77" t="s">
        <v>122</v>
      </c>
      <c r="G17" s="22"/>
      <c r="H17" s="80"/>
      <c r="I17" s="65"/>
      <c r="J17" s="65"/>
      <c r="K17" s="66"/>
      <c r="L17" s="30"/>
    </row>
    <row r="18" spans="1:12" ht="15">
      <c r="A18" s="105"/>
      <c r="B18" s="38" t="s">
        <v>125</v>
      </c>
      <c r="C18" s="39" t="s">
        <v>35</v>
      </c>
      <c r="D18" s="89">
        <f>D16*D17/100</f>
        <v>2330379.037095909</v>
      </c>
      <c r="E18" s="31">
        <f>E16*E17/100</f>
        <v>12942046.05671483</v>
      </c>
      <c r="F18" s="78" t="s">
        <v>129</v>
      </c>
      <c r="G18" s="22"/>
      <c r="H18" s="79"/>
      <c r="I18" s="67"/>
      <c r="J18" s="67"/>
      <c r="K18" s="68"/>
      <c r="L18" s="25"/>
    </row>
    <row r="19" spans="1:12" ht="15">
      <c r="A19" s="105"/>
      <c r="B19" s="53" t="s">
        <v>126</v>
      </c>
      <c r="C19" s="54" t="s">
        <v>17</v>
      </c>
      <c r="D19" s="58">
        <f>D18*D5*10^(-6)</f>
        <v>49.899241131816154</v>
      </c>
      <c r="E19" s="58">
        <f>E18*E5*10^(-6)</f>
        <v>277.12156118940635</v>
      </c>
      <c r="F19" s="24"/>
      <c r="G19" s="22"/>
      <c r="H19" s="29"/>
      <c r="I19" s="29"/>
      <c r="J19" s="29"/>
      <c r="K19" s="29"/>
      <c r="L19" s="25"/>
    </row>
    <row r="20" spans="1:12" ht="15.75" thickBot="1">
      <c r="A20" s="105"/>
      <c r="B20" s="57"/>
      <c r="C20" s="51"/>
      <c r="D20" s="52"/>
      <c r="E20" s="52"/>
      <c r="F20" s="19"/>
      <c r="G20" s="22"/>
      <c r="H20" s="24"/>
      <c r="I20" s="24"/>
      <c r="J20" s="24"/>
      <c r="K20" s="24"/>
      <c r="L20" s="25"/>
    </row>
    <row r="21" spans="1:12" ht="45.75" thickBot="1">
      <c r="A21" s="105"/>
      <c r="B21" s="44" t="s">
        <v>118</v>
      </c>
      <c r="C21" s="45" t="s">
        <v>15</v>
      </c>
      <c r="D21" s="99">
        <f>'Partitioning analysis'!H12</f>
        <v>0.048</v>
      </c>
      <c r="E21" s="100">
        <f>'Partitioning analysis'!H12</f>
        <v>0.048</v>
      </c>
      <c r="F21" s="84" t="s">
        <v>144</v>
      </c>
      <c r="G21" s="22"/>
      <c r="H21" s="24"/>
      <c r="I21" s="24"/>
      <c r="J21" s="24"/>
      <c r="K21" s="24"/>
      <c r="L21" s="25"/>
    </row>
    <row r="22" spans="1:12" ht="15">
      <c r="A22" s="106"/>
      <c r="B22" s="40" t="s">
        <v>18</v>
      </c>
      <c r="C22" s="41" t="s">
        <v>17</v>
      </c>
      <c r="D22" s="90">
        <f>D19*D21</f>
        <v>2.3951635743271753</v>
      </c>
      <c r="E22" s="90">
        <f>E19*E21</f>
        <v>13.301834937091504</v>
      </c>
      <c r="F22" s="78"/>
      <c r="G22" s="22"/>
      <c r="H22" s="29"/>
      <c r="I22" s="29"/>
      <c r="J22" s="29"/>
      <c r="K22" s="29"/>
      <c r="L22" s="30"/>
    </row>
    <row r="23" spans="2:13" ht="15">
      <c r="B23" s="24"/>
      <c r="C23" s="23"/>
      <c r="D23" s="27"/>
      <c r="E23" s="27"/>
      <c r="F23" s="24"/>
      <c r="G23" s="22"/>
      <c r="H23" s="24"/>
      <c r="I23" s="24"/>
      <c r="J23" s="24"/>
      <c r="K23" s="24"/>
      <c r="L23" s="24"/>
      <c r="M23" s="24"/>
    </row>
    <row r="24" spans="4:6" ht="15">
      <c r="D24" s="13" t="s">
        <v>161</v>
      </c>
      <c r="E24" s="13" t="s">
        <v>162</v>
      </c>
      <c r="F24" s="8" t="s">
        <v>160</v>
      </c>
    </row>
    <row r="25" spans="2:6" ht="15">
      <c r="B25" s="14" t="s">
        <v>136</v>
      </c>
      <c r="C25" s="14" t="s">
        <v>17</v>
      </c>
      <c r="D25" s="15">
        <f>D13</f>
        <v>0.2993954467908969</v>
      </c>
      <c r="E25" s="15">
        <f>E13</f>
        <v>4.156823417841095</v>
      </c>
      <c r="F25" s="15">
        <f>E25-D25</f>
        <v>3.8574279710501984</v>
      </c>
    </row>
    <row r="26" spans="2:6" ht="15">
      <c r="B26" s="14" t="s">
        <v>137</v>
      </c>
      <c r="C26" s="14" t="s">
        <v>17</v>
      </c>
      <c r="D26" s="15">
        <f>D22</f>
        <v>2.3951635743271753</v>
      </c>
      <c r="E26" s="15">
        <f>E22</f>
        <v>13.301834937091504</v>
      </c>
      <c r="F26" s="15">
        <f>E26-D26</f>
        <v>10.906671362764328</v>
      </c>
    </row>
  </sheetData>
  <sheetProtection/>
  <mergeCells count="3">
    <mergeCell ref="A4:A6"/>
    <mergeCell ref="A8:A13"/>
    <mergeCell ref="A16:A22"/>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P32"/>
  <sheetViews>
    <sheetView zoomScalePageLayoutView="0" workbookViewId="0" topLeftCell="A1">
      <selection activeCell="E4" sqref="E4"/>
    </sheetView>
  </sheetViews>
  <sheetFormatPr defaultColWidth="9.140625" defaultRowHeight="15"/>
  <cols>
    <col min="1" max="1" width="27.28125" style="0" customWidth="1"/>
    <col min="2" max="2" width="12.8515625" style="0" customWidth="1"/>
    <col min="3" max="3" width="10.140625" style="0" bestFit="1" customWidth="1"/>
    <col min="15" max="15" width="15.140625" style="0" customWidth="1"/>
  </cols>
  <sheetData>
    <row r="1" ht="15">
      <c r="A1" t="s">
        <v>8</v>
      </c>
    </row>
    <row r="2" spans="2:3" ht="15.75" thickBot="1">
      <c r="B2" t="s">
        <v>145</v>
      </c>
      <c r="C2" t="s">
        <v>146</v>
      </c>
    </row>
    <row r="3" spans="1:5" ht="15.75" thickBot="1">
      <c r="A3" s="108" t="s">
        <v>0</v>
      </c>
      <c r="B3" s="1" t="s">
        <v>1</v>
      </c>
      <c r="C3" s="1">
        <v>12</v>
      </c>
      <c r="E3" t="s">
        <v>7</v>
      </c>
    </row>
    <row r="4" spans="1:15" ht="15.75" thickBot="1">
      <c r="A4" s="109"/>
      <c r="B4" s="2" t="s">
        <v>2</v>
      </c>
      <c r="C4" s="2">
        <v>48.5</v>
      </c>
      <c r="E4">
        <f>((2.5*C3)+(7.5*C4)+(30*C5)+(75*C6))/100</f>
        <v>21.4125</v>
      </c>
      <c r="H4" t="s">
        <v>120</v>
      </c>
      <c r="N4" s="5"/>
      <c r="O4" s="6"/>
    </row>
    <row r="5" spans="1:16" ht="15.75" thickBot="1">
      <c r="A5" s="109"/>
      <c r="B5" s="2" t="s">
        <v>3</v>
      </c>
      <c r="C5" s="2">
        <v>27</v>
      </c>
      <c r="E5" t="s">
        <v>147</v>
      </c>
      <c r="H5">
        <f>0.5*E4+0.5*E8</f>
        <v>13.256250000000001</v>
      </c>
      <c r="N5" s="5"/>
      <c r="O5" s="6"/>
      <c r="P5" s="7"/>
    </row>
    <row r="6" spans="1:16" ht="30.75" thickBot="1">
      <c r="A6" s="110"/>
      <c r="B6" s="2" t="s">
        <v>4</v>
      </c>
      <c r="C6" s="2">
        <v>12.5</v>
      </c>
      <c r="N6" s="5"/>
      <c r="O6" s="6"/>
      <c r="P6" s="7"/>
    </row>
    <row r="7" spans="1:16" ht="15.75" thickBot="1">
      <c r="A7" s="108" t="s">
        <v>5</v>
      </c>
      <c r="B7" s="2" t="s">
        <v>1</v>
      </c>
      <c r="C7" s="2">
        <v>66</v>
      </c>
      <c r="E7" t="s">
        <v>7</v>
      </c>
      <c r="N7" s="5"/>
      <c r="O7" s="6"/>
      <c r="P7" s="7"/>
    </row>
    <row r="8" spans="1:16" ht="15.75" thickBot="1">
      <c r="A8" s="109"/>
      <c r="B8" s="2" t="s">
        <v>2</v>
      </c>
      <c r="C8" s="2">
        <v>30</v>
      </c>
      <c r="E8">
        <f>((2.5*C7)+(7.5*C8)+(30*C9))/100</f>
        <v>5.1</v>
      </c>
      <c r="N8" s="5"/>
      <c r="O8" s="6"/>
      <c r="P8" s="7"/>
    </row>
    <row r="9" spans="1:16" ht="15">
      <c r="A9" s="109"/>
      <c r="B9" s="108" t="s">
        <v>6</v>
      </c>
      <c r="C9" s="108">
        <v>4</v>
      </c>
      <c r="E9" t="s">
        <v>147</v>
      </c>
      <c r="N9" s="5"/>
      <c r="O9" s="6"/>
      <c r="P9" s="7"/>
    </row>
    <row r="10" spans="1:16" ht="15.75" thickBot="1">
      <c r="A10" s="110"/>
      <c r="B10" s="110"/>
      <c r="C10" s="110"/>
      <c r="N10" s="5"/>
      <c r="O10" s="6"/>
      <c r="P10" s="7"/>
    </row>
    <row r="11" spans="14:16" ht="15">
      <c r="N11" s="5"/>
      <c r="O11" s="6"/>
      <c r="P11" s="7"/>
    </row>
    <row r="12" spans="14:16" ht="15">
      <c r="N12" s="5"/>
      <c r="O12" s="6"/>
      <c r="P12" s="7"/>
    </row>
    <row r="13" spans="1:16" ht="15">
      <c r="A13" t="s">
        <v>9</v>
      </c>
      <c r="B13" t="s">
        <v>10</v>
      </c>
      <c r="C13" t="s">
        <v>11</v>
      </c>
      <c r="D13" t="s">
        <v>12</v>
      </c>
      <c r="N13" s="5"/>
      <c r="O13" s="6"/>
      <c r="P13" s="7"/>
    </row>
    <row r="14" spans="1:16" ht="15">
      <c r="A14" t="s">
        <v>33</v>
      </c>
      <c r="B14" s="3">
        <v>15851</v>
      </c>
      <c r="C14">
        <f>B14*0.45359237</f>
        <v>7189.892656870001</v>
      </c>
      <c r="D14">
        <f>C14*0.024</f>
        <v>172.55742376488</v>
      </c>
      <c r="E14">
        <f>D14/(21.4*10^(-6))</f>
        <v>8063431.017050468</v>
      </c>
      <c r="O14" s="3"/>
      <c r="P14" s="8"/>
    </row>
    <row r="16" spans="1:3" ht="15">
      <c r="A16" t="s">
        <v>13</v>
      </c>
      <c r="B16" s="3">
        <v>304059724</v>
      </c>
      <c r="C16">
        <f>B17/B16</f>
        <v>0.024145608314766476</v>
      </c>
    </row>
    <row r="17" ht="15">
      <c r="B17" s="3">
        <v>7341707</v>
      </c>
    </row>
    <row r="18" spans="2:3" ht="15">
      <c r="B18" s="3"/>
      <c r="C18" s="3"/>
    </row>
    <row r="20" ht="15">
      <c r="A20" t="s">
        <v>101</v>
      </c>
    </row>
    <row r="21" ht="15">
      <c r="B21">
        <f>D14-15</f>
        <v>157.55742376488</v>
      </c>
    </row>
    <row r="22" spans="1:5" ht="15">
      <c r="A22" s="4"/>
      <c r="B22" s="4"/>
      <c r="C22" s="4"/>
      <c r="D22" s="4"/>
      <c r="E22" s="4"/>
    </row>
    <row r="23" spans="1:5" ht="15">
      <c r="A23" s="4"/>
      <c r="B23" s="4"/>
      <c r="C23" s="4"/>
      <c r="D23" s="4"/>
      <c r="E23" s="4"/>
    </row>
    <row r="24" spans="1:5" ht="15">
      <c r="A24" s="4"/>
      <c r="B24" s="4"/>
      <c r="C24" s="4"/>
      <c r="D24" s="4"/>
      <c r="E24" s="4"/>
    </row>
    <row r="25" spans="1:5" ht="15">
      <c r="A25" s="4"/>
      <c r="B25" s="4"/>
      <c r="C25" s="4"/>
      <c r="D25" s="4"/>
      <c r="E25" s="4"/>
    </row>
    <row r="26" spans="1:5" ht="15">
      <c r="A26" s="4"/>
      <c r="B26" s="4"/>
      <c r="C26" s="4"/>
      <c r="D26" s="4"/>
      <c r="E26" s="4"/>
    </row>
    <row r="27" spans="1:5" ht="15">
      <c r="A27" s="4"/>
      <c r="B27" s="4"/>
      <c r="C27" s="4"/>
      <c r="D27" s="4"/>
      <c r="E27" s="4"/>
    </row>
    <row r="28" spans="1:5" ht="15">
      <c r="A28" s="4"/>
      <c r="B28" s="4"/>
      <c r="C28" s="4"/>
      <c r="D28" s="4"/>
      <c r="E28" s="4"/>
    </row>
    <row r="29" spans="1:5" ht="15">
      <c r="A29" s="4"/>
      <c r="B29" s="4"/>
      <c r="C29" s="4"/>
      <c r="D29" s="4"/>
      <c r="E29" s="4"/>
    </row>
    <row r="30" spans="1:5" ht="15">
      <c r="A30" s="4"/>
      <c r="B30" s="4"/>
      <c r="C30" s="4"/>
      <c r="D30" s="4"/>
      <c r="E30" s="4"/>
    </row>
    <row r="31" spans="1:5" ht="15">
      <c r="A31" s="4"/>
      <c r="B31" s="4"/>
      <c r="C31" s="4"/>
      <c r="D31" s="4"/>
      <c r="E31" s="4"/>
    </row>
    <row r="32" spans="1:5" ht="15">
      <c r="A32" s="4"/>
      <c r="B32" s="4"/>
      <c r="C32" s="4"/>
      <c r="D32" s="4"/>
      <c r="E32" s="4"/>
    </row>
  </sheetData>
  <sheetProtection/>
  <mergeCells count="4">
    <mergeCell ref="A3:A6"/>
    <mergeCell ref="A7:A10"/>
    <mergeCell ref="B9:B10"/>
    <mergeCell ref="C9:C10"/>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2:D16"/>
  <sheetViews>
    <sheetView zoomScalePageLayoutView="0" workbookViewId="0" topLeftCell="A1">
      <selection activeCell="H39" sqref="H39"/>
    </sheetView>
  </sheetViews>
  <sheetFormatPr defaultColWidth="9.140625" defaultRowHeight="15"/>
  <cols>
    <col min="2" max="2" width="15.00390625" style="0" customWidth="1"/>
    <col min="3" max="3" width="11.140625" style="0" customWidth="1"/>
  </cols>
  <sheetData>
    <row r="2" spans="1:3" ht="15">
      <c r="A2" t="s">
        <v>19</v>
      </c>
      <c r="C2" t="s">
        <v>32</v>
      </c>
    </row>
    <row r="3" spans="3:4" ht="15">
      <c r="C3" t="s">
        <v>30</v>
      </c>
      <c r="D3" t="s">
        <v>31</v>
      </c>
    </row>
    <row r="4" spans="2:3" ht="15">
      <c r="B4" s="5" t="s">
        <v>20</v>
      </c>
      <c r="C4" s="6">
        <v>38148493</v>
      </c>
    </row>
    <row r="5" spans="2:4" ht="15">
      <c r="B5" s="5" t="s">
        <v>21</v>
      </c>
      <c r="C5" s="6">
        <v>1548492</v>
      </c>
      <c r="D5" s="7">
        <v>4.0591039860997915</v>
      </c>
    </row>
    <row r="6" spans="2:4" ht="15">
      <c r="B6" s="5" t="s">
        <v>22</v>
      </c>
      <c r="C6" s="6">
        <v>1056477</v>
      </c>
      <c r="D6" s="7">
        <v>2.7692024426757826</v>
      </c>
    </row>
    <row r="7" spans="2:4" ht="15">
      <c r="B7" s="5" t="s">
        <v>23</v>
      </c>
      <c r="C7" s="6">
        <v>1846757</v>
      </c>
      <c r="D7" s="7">
        <v>4.840788861567874</v>
      </c>
    </row>
    <row r="8" spans="2:4" ht="15">
      <c r="B8" s="5" t="s">
        <v>24</v>
      </c>
      <c r="C8" s="6">
        <v>842625</v>
      </c>
      <c r="D8" s="7">
        <v>2.2094450755892248</v>
      </c>
    </row>
    <row r="9" spans="2:4" ht="15">
      <c r="B9" s="5" t="s">
        <v>25</v>
      </c>
      <c r="C9" s="6">
        <v>742251</v>
      </c>
      <c r="D9" s="7">
        <v>1.9457832842833398</v>
      </c>
    </row>
    <row r="10" spans="2:4" ht="15">
      <c r="B10" s="5" t="s">
        <v>26</v>
      </c>
      <c r="C10" s="6">
        <v>484547</v>
      </c>
      <c r="D10" s="7">
        <v>1.2701314308798515</v>
      </c>
    </row>
    <row r="11" spans="2:4" ht="15">
      <c r="B11" s="5" t="s">
        <v>27</v>
      </c>
      <c r="C11" s="6">
        <v>426026</v>
      </c>
      <c r="D11" s="7">
        <v>1.1166627211198095</v>
      </c>
    </row>
    <row r="12" spans="2:4" ht="15">
      <c r="B12" s="5" t="s">
        <v>28</v>
      </c>
      <c r="C12" s="6">
        <v>257522</v>
      </c>
      <c r="D12" s="7">
        <v>0.6750253542125505</v>
      </c>
    </row>
    <row r="13" spans="2:4" ht="15">
      <c r="B13" s="5" t="s">
        <v>29</v>
      </c>
      <c r="C13" s="6">
        <v>137010</v>
      </c>
      <c r="D13" s="7">
        <v>0.3591911219140426</v>
      </c>
    </row>
    <row r="14" spans="3:4" ht="15">
      <c r="C14" s="3">
        <f>SUM(C5:C13)</f>
        <v>7341707</v>
      </c>
      <c r="D14" s="8">
        <f>SUM(D5:D13)</f>
        <v>19.24533427834227</v>
      </c>
    </row>
    <row r="16" spans="2:4" ht="15">
      <c r="B16" s="5" t="s">
        <v>13</v>
      </c>
      <c r="C16" s="3">
        <v>304059724</v>
      </c>
      <c r="D16">
        <f>C14/C16</f>
        <v>0.024145608314766476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5"/>
  <sheetViews>
    <sheetView zoomScalePageLayoutView="0" workbookViewId="0" topLeftCell="A1">
      <selection activeCell="E14" sqref="E14"/>
    </sheetView>
  </sheetViews>
  <sheetFormatPr defaultColWidth="9.140625" defaultRowHeight="15"/>
  <cols>
    <col min="1" max="1" width="13.421875" style="0" customWidth="1"/>
    <col min="2" max="2" width="16.7109375" style="0" customWidth="1"/>
    <col min="3" max="3" width="18.00390625" style="0" customWidth="1"/>
    <col min="4" max="4" width="14.8515625" style="0" customWidth="1"/>
  </cols>
  <sheetData>
    <row r="1" ht="15">
      <c r="A1" s="11" t="s">
        <v>60</v>
      </c>
    </row>
    <row r="2" ht="15">
      <c r="A2" t="s">
        <v>39</v>
      </c>
    </row>
    <row r="3" ht="15">
      <c r="A3" t="s">
        <v>40</v>
      </c>
    </row>
    <row r="4" spans="2:4" ht="15">
      <c r="B4" t="s">
        <v>41</v>
      </c>
      <c r="C4" t="s">
        <v>42</v>
      </c>
      <c r="D4" t="s">
        <v>43</v>
      </c>
    </row>
    <row r="5" spans="2:4" ht="15">
      <c r="B5" t="s">
        <v>45</v>
      </c>
      <c r="C5" t="s">
        <v>44</v>
      </c>
      <c r="D5" t="s">
        <v>46</v>
      </c>
    </row>
    <row r="7" spans="1:2" ht="15">
      <c r="A7" s="10" t="s">
        <v>47</v>
      </c>
      <c r="B7" s="9"/>
    </row>
    <row r="8" spans="1:2" ht="15">
      <c r="A8" s="10" t="s">
        <v>48</v>
      </c>
      <c r="B8" s="9"/>
    </row>
    <row r="9" spans="1:2" ht="15">
      <c r="A9" s="10" t="s">
        <v>49</v>
      </c>
      <c r="B9" s="10" t="s">
        <v>50</v>
      </c>
    </row>
    <row r="10" spans="1:2" ht="15">
      <c r="A10" s="10" t="s">
        <v>51</v>
      </c>
      <c r="B10" s="10" t="s">
        <v>52</v>
      </c>
    </row>
    <row r="12" ht="15">
      <c r="A12" s="10" t="s">
        <v>58</v>
      </c>
    </row>
    <row r="13" ht="15">
      <c r="A13" s="10" t="s">
        <v>59</v>
      </c>
    </row>
    <row r="14" spans="1:3" ht="15">
      <c r="A14" s="10" t="s">
        <v>49</v>
      </c>
      <c r="B14" s="10" t="s">
        <v>53</v>
      </c>
      <c r="C14" s="10" t="s">
        <v>54</v>
      </c>
    </row>
    <row r="15" spans="1:3" ht="15">
      <c r="A15" s="10" t="s">
        <v>55</v>
      </c>
      <c r="B15" s="10" t="s">
        <v>56</v>
      </c>
      <c r="C15" s="10" t="s">
        <v>57</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12"/>
  <sheetViews>
    <sheetView zoomScalePageLayoutView="0" workbookViewId="0" topLeftCell="A1">
      <selection activeCell="B5" sqref="B5"/>
    </sheetView>
  </sheetViews>
  <sheetFormatPr defaultColWidth="9.140625" defaultRowHeight="15"/>
  <cols>
    <col min="2" max="3" width="10.421875" style="0" customWidth="1"/>
  </cols>
  <sheetData>
    <row r="1" ht="15">
      <c r="A1" t="s">
        <v>97</v>
      </c>
    </row>
    <row r="2" spans="1:8" ht="15">
      <c r="A2" s="9" t="s">
        <v>61</v>
      </c>
      <c r="B2" s="9" t="s">
        <v>95</v>
      </c>
      <c r="C2" s="9"/>
      <c r="D2" s="9"/>
      <c r="E2" s="9"/>
      <c r="F2" s="9"/>
      <c r="G2" s="9"/>
      <c r="H2" s="12"/>
    </row>
    <row r="3" spans="1:8" ht="15">
      <c r="A3" s="9" t="s">
        <v>61</v>
      </c>
      <c r="B3" s="9" t="s">
        <v>94</v>
      </c>
      <c r="C3" s="9" t="s">
        <v>96</v>
      </c>
      <c r="D3" s="9" t="s">
        <v>61</v>
      </c>
      <c r="E3" s="9" t="s">
        <v>61</v>
      </c>
      <c r="F3" s="9" t="s">
        <v>61</v>
      </c>
      <c r="G3" s="9" t="s">
        <v>61</v>
      </c>
      <c r="H3" s="12" t="s">
        <v>61</v>
      </c>
    </row>
    <row r="4" spans="1:8" ht="15">
      <c r="A4" s="10" t="s">
        <v>62</v>
      </c>
      <c r="B4" s="10" t="s">
        <v>63</v>
      </c>
      <c r="C4" s="10" t="s">
        <v>64</v>
      </c>
      <c r="D4" s="10" t="s">
        <v>65</v>
      </c>
      <c r="E4" s="10" t="s">
        <v>66</v>
      </c>
      <c r="F4" s="10" t="s">
        <v>67</v>
      </c>
      <c r="G4" s="10" t="s">
        <v>68</v>
      </c>
      <c r="H4" s="10" t="s">
        <v>69</v>
      </c>
    </row>
    <row r="5" spans="1:8" ht="15">
      <c r="A5" s="10" t="s">
        <v>70</v>
      </c>
      <c r="B5" s="10" t="s">
        <v>71</v>
      </c>
      <c r="C5" s="10" t="s">
        <v>72</v>
      </c>
      <c r="D5" s="10" t="s">
        <v>73</v>
      </c>
      <c r="E5" s="10" t="s">
        <v>74</v>
      </c>
      <c r="F5" s="10" t="s">
        <v>75</v>
      </c>
      <c r="G5" s="10" t="s">
        <v>76</v>
      </c>
      <c r="H5" s="10" t="s">
        <v>77</v>
      </c>
    </row>
    <row r="6" spans="1:8" ht="15">
      <c r="A6" s="10" t="s">
        <v>78</v>
      </c>
      <c r="B6" s="10" t="s">
        <v>79</v>
      </c>
      <c r="C6" s="10" t="s">
        <v>80</v>
      </c>
      <c r="D6" s="10" t="s">
        <v>81</v>
      </c>
      <c r="E6" s="10" t="s">
        <v>82</v>
      </c>
      <c r="F6" s="10" t="s">
        <v>83</v>
      </c>
      <c r="G6" s="10" t="s">
        <v>84</v>
      </c>
      <c r="H6" s="10" t="s">
        <v>85</v>
      </c>
    </row>
    <row r="7" spans="1:8" ht="15">
      <c r="A7" s="10" t="s">
        <v>86</v>
      </c>
      <c r="B7" s="10" t="s">
        <v>87</v>
      </c>
      <c r="C7" s="10" t="s">
        <v>88</v>
      </c>
      <c r="D7" s="10" t="s">
        <v>89</v>
      </c>
      <c r="E7" s="10" t="s">
        <v>90</v>
      </c>
      <c r="F7" s="10" t="s">
        <v>91</v>
      </c>
      <c r="G7" s="10" t="s">
        <v>92</v>
      </c>
      <c r="H7" s="10" t="s">
        <v>93</v>
      </c>
    </row>
    <row r="11" spans="2:3" ht="15">
      <c r="B11" t="s">
        <v>99</v>
      </c>
      <c r="C11" t="s">
        <v>100</v>
      </c>
    </row>
    <row r="12" spans="1:3" ht="15">
      <c r="A12" t="s">
        <v>98</v>
      </c>
      <c r="B12">
        <v>15136000</v>
      </c>
      <c r="C12">
        <f>B12*0.1925</f>
        <v>2913680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3"/>
  <sheetViews>
    <sheetView zoomScalePageLayoutView="0" workbookViewId="0" topLeftCell="A1">
      <selection activeCell="E33" sqref="E33"/>
    </sheetView>
  </sheetViews>
  <sheetFormatPr defaultColWidth="9.140625" defaultRowHeight="15"/>
  <cols>
    <col min="3" max="3" width="10.7109375" style="0" customWidth="1"/>
  </cols>
  <sheetData>
    <row r="1" ht="15">
      <c r="A1" t="s">
        <v>103</v>
      </c>
    </row>
    <row r="2" spans="4:6" ht="15">
      <c r="D2" t="s">
        <v>105</v>
      </c>
      <c r="E2" t="s">
        <v>106</v>
      </c>
      <c r="F2" t="s">
        <v>107</v>
      </c>
    </row>
    <row r="3" spans="1:9" ht="15">
      <c r="A3" t="s">
        <v>104</v>
      </c>
      <c r="C3" t="s">
        <v>108</v>
      </c>
      <c r="D3">
        <v>37</v>
      </c>
      <c r="E3">
        <v>0</v>
      </c>
      <c r="F3">
        <v>63</v>
      </c>
      <c r="I3">
        <f>D3*B8</f>
        <v>11.285</v>
      </c>
    </row>
    <row r="4" spans="3:6" ht="15">
      <c r="C4" t="s">
        <v>109</v>
      </c>
      <c r="D4">
        <v>34</v>
      </c>
      <c r="E4">
        <v>0</v>
      </c>
      <c r="F4">
        <v>66</v>
      </c>
    </row>
    <row r="5" spans="3:6" ht="15">
      <c r="C5" t="s">
        <v>110</v>
      </c>
      <c r="D5">
        <v>14</v>
      </c>
      <c r="E5">
        <v>1</v>
      </c>
      <c r="F5">
        <v>85</v>
      </c>
    </row>
    <row r="7" ht="15">
      <c r="A7" t="s">
        <v>111</v>
      </c>
    </row>
    <row r="8" spans="1:3" ht="15">
      <c r="A8" t="s">
        <v>112</v>
      </c>
      <c r="B8">
        <v>0.305</v>
      </c>
      <c r="C8" t="s">
        <v>114</v>
      </c>
    </row>
    <row r="9" spans="1:2" ht="15">
      <c r="A9" t="s">
        <v>113</v>
      </c>
      <c r="B9">
        <v>0.466</v>
      </c>
    </row>
    <row r="12" spans="1:2" ht="15">
      <c r="A12" t="s">
        <v>115</v>
      </c>
      <c r="B12" t="s">
        <v>116</v>
      </c>
    </row>
    <row r="13" spans="2:3" ht="15">
      <c r="B13">
        <v>1000</v>
      </c>
      <c r="C13" t="s">
        <v>117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7"/>
  <sheetViews>
    <sheetView zoomScalePageLayoutView="0" workbookViewId="0" topLeftCell="A1">
      <selection activeCell="B7" sqref="B7"/>
    </sheetView>
  </sheetViews>
  <sheetFormatPr defaultColWidth="9.140625" defaultRowHeight="15"/>
  <sheetData>
    <row r="1" ht="15">
      <c r="A1" t="s">
        <v>130</v>
      </c>
    </row>
    <row r="3" ht="15">
      <c r="A3" t="s">
        <v>131</v>
      </c>
    </row>
    <row r="4" ht="15">
      <c r="A4" t="s">
        <v>132</v>
      </c>
    </row>
    <row r="5" ht="15">
      <c r="A5" t="s">
        <v>133</v>
      </c>
    </row>
    <row r="7" spans="1:2" ht="15">
      <c r="A7">
        <f>670000000*'CA_Bay Area Population'!D16</f>
        <v>16177557.57089354</v>
      </c>
      <c r="B7" t="s">
        <v>134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8"/>
  <sheetViews>
    <sheetView zoomScalePageLayoutView="0" workbookViewId="0" topLeftCell="A1">
      <selection activeCell="F22" sqref="F22"/>
    </sheetView>
  </sheetViews>
  <sheetFormatPr defaultColWidth="9.140625" defaultRowHeight="15"/>
  <sheetData>
    <row r="1" ht="15">
      <c r="A1" s="94" t="s">
        <v>148</v>
      </c>
    </row>
    <row r="2" ht="15.75">
      <c r="A2" s="93" t="s">
        <v>149</v>
      </c>
    </row>
    <row r="3" ht="15.75">
      <c r="A3" s="95" t="s">
        <v>150</v>
      </c>
    </row>
    <row r="4" ht="18.75">
      <c r="A4" s="96" t="s">
        <v>151</v>
      </c>
    </row>
    <row r="5" ht="15.75">
      <c r="A5" s="97" t="s">
        <v>152</v>
      </c>
    </row>
    <row r="6" ht="15.75">
      <c r="A6" s="95" t="s">
        <v>153</v>
      </c>
    </row>
    <row r="7" ht="18.75">
      <c r="A7" s="95" t="s">
        <v>154</v>
      </c>
    </row>
    <row r="8" ht="15.75">
      <c r="A8" s="95" t="s">
        <v>155</v>
      </c>
    </row>
    <row r="9" ht="15.75">
      <c r="A9" s="93" t="s">
        <v>156</v>
      </c>
    </row>
    <row r="11" ht="15.75">
      <c r="A11" s="93"/>
    </row>
    <row r="12" spans="2:8" ht="15.75">
      <c r="B12" s="93" t="s">
        <v>157</v>
      </c>
      <c r="H12">
        <f>4.8%</f>
        <v>0.048</v>
      </c>
    </row>
    <row r="15" ht="15.75">
      <c r="A15" s="93" t="s">
        <v>158</v>
      </c>
    </row>
    <row r="18" ht="15">
      <c r="A18" s="94" t="s">
        <v>159</v>
      </c>
    </row>
  </sheetData>
  <sheetProtection/>
  <hyperlinks>
    <hyperlink ref="A1" location="_ftn1" display="_ftn1"/>
    <hyperlink ref="A18" location="_ftnref1" display="_ftnref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khavens</dc:creator>
  <cp:keywords/>
  <dc:description/>
  <cp:lastModifiedBy>Valued Acer Customer</cp:lastModifiedBy>
  <dcterms:created xsi:type="dcterms:W3CDTF">2009-03-18T22:00:53Z</dcterms:created>
  <dcterms:modified xsi:type="dcterms:W3CDTF">2011-03-30T21:00:25Z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